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SAISIE" sheetId="1" state="visible" r:id="rId2"/>
    <sheet name="PRIMES - INDEMNITES" sheetId="2" state="hidden" r:id="rId3"/>
    <sheet name="INDICE_TAUX" sheetId="3" state="hidden" r:id="rId4"/>
    <sheet name="TABLE" sheetId="4" state="hidden" r:id="rId5"/>
    <sheet name="BULLETIN DE PAYE" sheetId="5" state="visible" r:id="rId6"/>
  </sheets>
  <definedNames>
    <definedName function="false" hidden="false" name="assiette" vbProcedure="false">INDICE_TAUX!$A$22:$B$24</definedName>
    <definedName function="false" hidden="false" name="Choix1" vbProcedure="false">SAISIE!$D$49:$D$50</definedName>
    <definedName function="false" hidden="false" name="contr1" vbProcedure="false">TABLE!$D$18:$E$30</definedName>
    <definedName function="false" hidden="false" name="contr2" vbProcedure="false">TABLE!$D$3:$E$15</definedName>
    <definedName function="false" hidden="false" name="contrp" vbProcedure="false">TABLE!$D$33:$E$43</definedName>
    <definedName function="false" hidden="false" name="ECHELON" vbProcedure="false">TABLE!$D$3:$D$15</definedName>
    <definedName function="false" hidden="false" name="grade" vbProcedure="false">table!#ref!</definedName>
    <definedName function="false" hidden="false" name="indice" vbProcedure="false">#REF!</definedName>
    <definedName function="false" hidden="false" name="pension_civile" vbProcedure="false">INDICE_TAUX!$A$7:$C$16</definedName>
    <definedName function="false" hidden="false" name="plafond" vbProcedure="false">INDICE_TAUX!$G$4</definedName>
    <definedName function="false" hidden="false" name="plancher" vbProcedure="false">INDICE_TAUX!$G$3</definedName>
    <definedName function="false" hidden="false" name="point" vbProcedure="false">INDICE_TAUX!$C$2</definedName>
    <definedName function="false" hidden="false" name="prime_rendement" vbProcedure="false">'primes - indemnites'!#ref!</definedName>
    <definedName function="false" hidden="false" name="quotité" vbProcedure="false">TABLE!$A$11:$B$16</definedName>
    <definedName function="false" hidden="false" name="rendement" vbProcedure="false">'primes - indemnites'!#ref!</definedName>
    <definedName function="false" hidden="false" name="RP" vbProcedure="false">table!#ref!</definedName>
    <definedName function="false" hidden="false" name="SFT_Indice" vbProcedure="false">INDICE_TAUX!$F$20:$G$30</definedName>
    <definedName function="false" hidden="false" name="SFT_Plafond" vbProcedure="false">INDICE_TAUX!$F$33:$G$43</definedName>
    <definedName function="false" hidden="false" name="SFT_Plancher" vbProcedure="false">INDICE_TAUX!$F$7:$G$17</definedName>
    <definedName function="false" hidden="false" name="taux" vbProcedure="false">INDICE_TAUX!$B$34</definedName>
    <definedName function="false" hidden="false" name="temps_partiel" vbProcedure="false">TABLE!$A$3:$B$8</definedName>
    <definedName function="false" hidden="false" name="TP" vbProcedure="false">table!#ref!</definedName>
    <definedName function="false" hidden="false" name="_xlfnodf_DAYS" vbProcedure="false">NA()</definedName>
    <definedName function="false" hidden="false" localSheetId="2" name="Excel_BuiltIn__FilterDatabase" vbProcedure="false">INDICE_TAUX!$A$7:$C$8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<sst xmlns="http://schemas.openxmlformats.org/spreadsheetml/2006/main" count="273" uniqueCount="195">
  <si>
    <t xml:space="preserve">SAISIE DES ELEMENTS DE CALCUL DU TRAITEMENT</t>
  </si>
  <si>
    <t xml:space="preserve">Direction</t>
  </si>
  <si>
    <t xml:space="preserve">GRADE</t>
  </si>
  <si>
    <t xml:space="preserve">Contrôleur 1ère classe</t>
  </si>
  <si>
    <t xml:space="preserve">Centrale</t>
  </si>
  <si>
    <t xml:space="preserve">ECHELON:</t>
  </si>
  <si>
    <t xml:space="preserve">INDICE  :</t>
  </si>
  <si>
    <t xml:space="preserve">Unité territoriale</t>
  </si>
  <si>
    <t xml:space="preserve">Affectation île de France</t>
  </si>
  <si>
    <t xml:space="preserve">Non</t>
  </si>
  <si>
    <t xml:space="preserve">BCR</t>
  </si>
  <si>
    <t xml:space="preserve">Géomètre/Cadastreur</t>
  </si>
  <si>
    <t xml:space="preserve">Type de poste d'affectation :</t>
  </si>
  <si>
    <t xml:space="preserve">Commisionné</t>
  </si>
  <si>
    <t xml:space="preserve">Renfort</t>
  </si>
  <si>
    <t xml:space="preserve">INDEMNITE RESIDENCE</t>
  </si>
  <si>
    <t xml:space="preserve">SPF (hors chef)</t>
  </si>
  <si>
    <t xml:space="preserve">ENFANTS:</t>
  </si>
  <si>
    <t xml:space="preserve">SPF (chef)</t>
  </si>
  <si>
    <t xml:space="preserve">QUOTITE DE TRAVAIL :</t>
  </si>
  <si>
    <t xml:space="preserve">Redevance</t>
  </si>
  <si>
    <t xml:space="preserve">DIVERS (REMB DOMICILE-TRAVAIL)</t>
  </si>
  <si>
    <t xml:space="preserve">Encaissement</t>
  </si>
  <si>
    <t xml:space="preserve">Ind. Compens. CSG :</t>
  </si>
  <si>
    <t xml:space="preserve">Délégation</t>
  </si>
  <si>
    <t xml:space="preserve">Primes / Ind. diverses :</t>
  </si>
  <si>
    <t xml:space="preserve">MUTUELLE:</t>
  </si>
  <si>
    <t xml:space="preserve">DIVERS :</t>
  </si>
  <si>
    <t xml:space="preserve">Taux PAS :</t>
  </si>
  <si>
    <t xml:space="preserve">Codes prime :</t>
  </si>
  <si>
    <t xml:space="preserve">Code de recherche prime :</t>
  </si>
  <si>
    <t xml:space="preserve">IMT  ( Ind. 321 ):</t>
  </si>
  <si>
    <t xml:space="preserve">Valeur du point ACF</t>
  </si>
  <si>
    <t xml:space="preserve">PRIME DE RENDEMENT</t>
  </si>
  <si>
    <t xml:space="preserve">ACF 1 TECHNICITE</t>
  </si>
  <si>
    <t xml:space="preserve">RIF</t>
  </si>
  <si>
    <t xml:space="preserve">Nb de points</t>
  </si>
  <si>
    <t xml:space="preserve">Code</t>
  </si>
  <si>
    <t xml:space="preserve">Échelon</t>
  </si>
  <si>
    <t xml:space="preserve">Mensuel</t>
  </si>
  <si>
    <t xml:space="preserve">Annuel</t>
  </si>
  <si>
    <t xml:space="preserve">Contrôleur 2ème classe IDF1</t>
  </si>
  <si>
    <t xml:space="preserve">Contrôleur 2ème classe IDF2</t>
  </si>
  <si>
    <t xml:space="preserve">Contrôleur 2ème classe IDF3</t>
  </si>
  <si>
    <t xml:space="preserve">Contrôleur 2ème classe IDF4</t>
  </si>
  <si>
    <t xml:space="preserve">Contrôleur 2ème classe IDF5</t>
  </si>
  <si>
    <t xml:space="preserve">Contrôleur 2ème classe IDF6</t>
  </si>
  <si>
    <t xml:space="preserve">Contrôleur 2ème classe IDF7</t>
  </si>
  <si>
    <t xml:space="preserve">Contrôleur 2ème classe IDF8</t>
  </si>
  <si>
    <t xml:space="preserve">Contrôleur 2ème classe IDF9</t>
  </si>
  <si>
    <t xml:space="preserve">Contrôleur 2ème classe IDF10</t>
  </si>
  <si>
    <t xml:space="preserve">Contrôleur 2ème classe IDF11</t>
  </si>
  <si>
    <t xml:space="preserve">Contrôleur 2ème classe IDF12</t>
  </si>
  <si>
    <t xml:space="preserve">Contrôleur 2ème classe IDF13</t>
  </si>
  <si>
    <t xml:space="preserve">PROVINCE</t>
  </si>
  <si>
    <t xml:space="preserve">Contrôleur 2ème classe PRO1</t>
  </si>
  <si>
    <t xml:space="preserve">Contrôleur 2ème classe PRO2</t>
  </si>
  <si>
    <t xml:space="preserve">Contrôleur 2ème classe PRO3</t>
  </si>
  <si>
    <t xml:space="preserve">Contrôleur 2ème classe PRO4</t>
  </si>
  <si>
    <t xml:space="preserve">Contrôleur 2ème classe PRO5</t>
  </si>
  <si>
    <t xml:space="preserve">Contrôleur 2ème classe PRO6</t>
  </si>
  <si>
    <t xml:space="preserve">Contrôleur 2ème classe PRO7</t>
  </si>
  <si>
    <t xml:space="preserve">Contrôleur 2ème classe PRO8</t>
  </si>
  <si>
    <t xml:space="preserve">Contrôleur 2ème classe PRO9</t>
  </si>
  <si>
    <t xml:space="preserve">Contrôleur 2ème classe PRO10</t>
  </si>
  <si>
    <t xml:space="preserve">Contrôleur 2ème classe PRO11</t>
  </si>
  <si>
    <t xml:space="preserve">Contrôleur 2ème classe PRO12</t>
  </si>
  <si>
    <t xml:space="preserve">Contrôleur 2ème classe PRO13</t>
  </si>
  <si>
    <t xml:space="preserve">Contrôleur 1ère classe IDF1</t>
  </si>
  <si>
    <t xml:space="preserve">Contrôleur 1ère classe IDF2</t>
  </si>
  <si>
    <t xml:space="preserve">Contrôleur 1ère classe IDF3</t>
  </si>
  <si>
    <t xml:space="preserve">Contrôleur 1ère classe IDF4</t>
  </si>
  <si>
    <t xml:space="preserve">Contrôleur 1ère classe IDF5</t>
  </si>
  <si>
    <t xml:space="preserve">Contrôleur 1ère classe IDF6</t>
  </si>
  <si>
    <t xml:space="preserve">Contrôleur 1ère classe IDF7</t>
  </si>
  <si>
    <t xml:space="preserve">Contrôleur 1ère classe IDF8</t>
  </si>
  <si>
    <t xml:space="preserve">Contrôleur 1ère classe IDF9</t>
  </si>
  <si>
    <t xml:space="preserve">Contrôleur 1ère classe IDF10</t>
  </si>
  <si>
    <t xml:space="preserve">Contrôleur 1ère classe IDF11</t>
  </si>
  <si>
    <t xml:space="preserve">Contrôleur 1ère classe IDF12</t>
  </si>
  <si>
    <t xml:space="preserve">Contrôleur 1ère classe IDF13</t>
  </si>
  <si>
    <t xml:space="preserve">Contrôleur 1ère classe PRO1</t>
  </si>
  <si>
    <t xml:space="preserve">Contrôleur 1ère classe PRO2</t>
  </si>
  <si>
    <t xml:space="preserve">Contrôleur 1ère classe PRO3</t>
  </si>
  <si>
    <t xml:space="preserve">Contrôleur 1ère classe PRO4</t>
  </si>
  <si>
    <t xml:space="preserve">Contrôleur 1ère classe PRO5</t>
  </si>
  <si>
    <t xml:space="preserve">Contrôleur 1ère classe PRO6</t>
  </si>
  <si>
    <t xml:space="preserve">Contrôleur 1ère classe PRO7</t>
  </si>
  <si>
    <t xml:space="preserve">Contrôleur 1ère classe PRO8</t>
  </si>
  <si>
    <t xml:space="preserve">Contrôleur 1ère classe PRO9</t>
  </si>
  <si>
    <t xml:space="preserve">Contrôleur 1ère classe PRO10</t>
  </si>
  <si>
    <t xml:space="preserve">Contrôleur 1ère classe PRO11</t>
  </si>
  <si>
    <t xml:space="preserve">Contrôleur 1ère classe PRO12</t>
  </si>
  <si>
    <t xml:space="preserve">Contrôleur 1ère classe PRO13</t>
  </si>
  <si>
    <t xml:space="preserve">Contrôleur principal IDF1</t>
  </si>
  <si>
    <t xml:space="preserve">Contrôleur principal IDF2</t>
  </si>
  <si>
    <t xml:space="preserve">Contrôleur principal IDF3</t>
  </si>
  <si>
    <t xml:space="preserve">Contrôleur principal IDF4</t>
  </si>
  <si>
    <t xml:space="preserve">Contrôleur principal IDF5</t>
  </si>
  <si>
    <t xml:space="preserve">Contrôleur principal IDF6</t>
  </si>
  <si>
    <t xml:space="preserve">Contrôleur principal IDF7</t>
  </si>
  <si>
    <t xml:space="preserve">Contrôleur principal IDF8</t>
  </si>
  <si>
    <t xml:space="preserve">Contrôleur principal IDF9</t>
  </si>
  <si>
    <t xml:space="preserve">Contrôleur principal IDF10</t>
  </si>
  <si>
    <t xml:space="preserve">Contrôleur principal IDF11</t>
  </si>
  <si>
    <t xml:space="preserve">Contrôleur principal PRO1</t>
  </si>
  <si>
    <t xml:space="preserve">Contrôleur principal PRO2</t>
  </si>
  <si>
    <t xml:space="preserve">Contrôleur principal PRO3</t>
  </si>
  <si>
    <t xml:space="preserve">Contrôleur principal PRO4</t>
  </si>
  <si>
    <t xml:space="preserve">Contrôleur principal PRO5</t>
  </si>
  <si>
    <t xml:space="preserve">Contrôleur principal PRO6</t>
  </si>
  <si>
    <t xml:space="preserve">Contrôleur principal PRO7</t>
  </si>
  <si>
    <t xml:space="preserve">Contrôleur principal PRO8</t>
  </si>
  <si>
    <t xml:space="preserve">Contrôleur principal PRO9</t>
  </si>
  <si>
    <t xml:space="preserve">Contrôleur principal PRO10</t>
  </si>
  <si>
    <t xml:space="preserve">Contrôleur principal PRO11</t>
  </si>
  <si>
    <t xml:space="preserve">ACF 2 SUJETION</t>
  </si>
  <si>
    <t xml:space="preserve">Nb points</t>
  </si>
  <si>
    <t xml:space="preserve">Contrôleur Direction</t>
  </si>
  <si>
    <t xml:space="preserve">Contrôleur Centrale</t>
  </si>
  <si>
    <t xml:space="preserve">Contrôleur Unité territoriale</t>
  </si>
  <si>
    <t xml:space="preserve">Contrôleur BCR</t>
  </si>
  <si>
    <t xml:space="preserve">Contrôleur Géomètre/Cadasteur</t>
  </si>
  <si>
    <t xml:space="preserve">Contrôleur Commissionné</t>
  </si>
  <si>
    <t xml:space="preserve">Contrôleur Renfort</t>
  </si>
  <si>
    <t xml:space="preserve">Contrôleur SPF (hors chef)</t>
  </si>
  <si>
    <t xml:space="preserve">Contrôleur SPF (chef)</t>
  </si>
  <si>
    <t xml:space="preserve">Contrôleur CPS/CIS/AMENDES</t>
  </si>
  <si>
    <t xml:space="preserve">Contrôleur Redevance</t>
  </si>
  <si>
    <t xml:space="preserve">Contrôleur Encaissement</t>
  </si>
  <si>
    <t xml:space="preserve">Contrôleur Délégation</t>
  </si>
  <si>
    <t xml:space="preserve">NBI</t>
  </si>
  <si>
    <t xml:space="preserve">VALEUR DU POINT AU 01/07/2022:</t>
  </si>
  <si>
    <t xml:space="preserve">VALEUR DU POINT AU 01/02/2017:</t>
  </si>
  <si>
    <t xml:space="preserve">Indice plafond SFT :</t>
  </si>
  <si>
    <t xml:space="preserve">VALEUR DU POINT AU 01/07/2016:</t>
  </si>
  <si>
    <t xml:space="preserve">Indice plancher SFT :</t>
  </si>
  <si>
    <t xml:space="preserve">VALEUR DU POINT AU 01/07/2010:</t>
  </si>
  <si>
    <t xml:space="preserve">TAUX RETENUE PENSION CIVILE</t>
  </si>
  <si>
    <t xml:space="preserve">SFT-Plancher</t>
  </si>
  <si>
    <t xml:space="preserve">SFT-Indice</t>
  </si>
  <si>
    <t xml:space="preserve">Assiette ( % du traitement brut)</t>
  </si>
  <si>
    <t xml:space="preserve">CSG NON DEDUCTIBLE (2,4%)</t>
  </si>
  <si>
    <t xml:space="preserve">CSG DEDUCTIBLE (6,8%)</t>
  </si>
  <si>
    <t xml:space="preserve">CRDS (0,5%)</t>
  </si>
  <si>
    <t xml:space="preserve">CONT. SOLIDARITE (1%)</t>
  </si>
  <si>
    <t xml:space="preserve">RAFP</t>
  </si>
  <si>
    <t xml:space="preserve">Taux</t>
  </si>
  <si>
    <t xml:space="preserve">SFT-Plafond</t>
  </si>
  <si>
    <t xml:space="preserve">COTISATION PC IMT</t>
  </si>
  <si>
    <t xml:space="preserve">RETENUE PENSION CIVILE</t>
  </si>
  <si>
    <t xml:space="preserve">Durée</t>
  </si>
  <si>
    <t xml:space="preserve">temps partiel</t>
  </si>
  <si>
    <t xml:space="preserve">Contrôleur 2ème classe</t>
  </si>
  <si>
    <t xml:space="preserve">An</t>
  </si>
  <si>
    <t xml:space="preserve">Mois</t>
  </si>
  <si>
    <t xml:space="preserve">Du</t>
  </si>
  <si>
    <t xml:space="preserve">au</t>
  </si>
  <si>
    <t xml:space="preserve">quotité choisie</t>
  </si>
  <si>
    <t xml:space="preserve">quotité</t>
  </si>
  <si>
    <t xml:space="preserve">Contrôleur principal</t>
  </si>
  <si>
    <t xml:space="preserve">BULLETIN DE PAYE</t>
  </si>
  <si>
    <t xml:space="preserve">forfait télétravail :</t>
  </si>
  <si>
    <t xml:space="preserve">GRADE:</t>
  </si>
  <si>
    <t xml:space="preserve">TOTAL NET AVANT PAS</t>
  </si>
  <si>
    <t xml:space="preserve">TOTAL NET APRES PAS</t>
  </si>
  <si>
    <t xml:space="preserve">Salaire final :</t>
  </si>
  <si>
    <t xml:space="preserve">A payer</t>
  </si>
  <si>
    <t xml:space="preserve">A déduire</t>
  </si>
  <si>
    <t xml:space="preserve">TRAITEMENT BRUT:</t>
  </si>
  <si>
    <t xml:space="preserve">rappel</t>
  </si>
  <si>
    <t xml:space="preserve">RETENUE PENSION CIVILE NBI</t>
  </si>
  <si>
    <t xml:space="preserve">NBI:</t>
  </si>
  <si>
    <t xml:space="preserve">RETENUE PENSION CIVILE IMT</t>
  </si>
  <si>
    <t xml:space="preserve">SFT:</t>
  </si>
  <si>
    <t xml:space="preserve">TOTAL C:</t>
  </si>
  <si>
    <t xml:space="preserve">IND. RESIDENCE:</t>
  </si>
  <si>
    <t xml:space="preserve">IND. 321 (IMT):</t>
  </si>
  <si>
    <t xml:space="preserve">TOTAL D:</t>
  </si>
  <si>
    <t xml:space="preserve">MUTUELLE</t>
  </si>
  <si>
    <t xml:space="preserve">DIVERS</t>
  </si>
  <si>
    <t xml:space="preserve">PRIME RENDEMENT :</t>
  </si>
  <si>
    <t xml:space="preserve">TOTAL E:</t>
  </si>
  <si>
    <t xml:space="preserve">ACF 1 TECHNICITE :</t>
  </si>
  <si>
    <t xml:space="preserve">TRANSFERT PRIMES / POINTS :</t>
  </si>
  <si>
    <t xml:space="preserve">Prélèvement à la source</t>
  </si>
  <si>
    <t xml:space="preserve">ACF 2 SUJETIONS :</t>
  </si>
  <si>
    <t xml:space="preserve">IND. COMPENSATRICE CSG</t>
  </si>
  <si>
    <t xml:space="preserve">TOTAL A:</t>
  </si>
  <si>
    <t xml:space="preserve">Remb. Dom-Trav:</t>
  </si>
  <si>
    <t xml:space="preserve">Prime/Ind diverses:</t>
  </si>
  <si>
    <t xml:space="preserve">TOTAL B:</t>
  </si>
  <si>
    <t xml:space="preserve">TOTAL GENERAL (A+B) :</t>
  </si>
  <si>
    <t xml:space="preserve">TOTAL GENERAL (C+D+E) :</t>
  </si>
  <si>
    <t xml:space="preserve">MONTANT IMPOSABLE:</t>
  </si>
</sst>
</file>

<file path=xl/styles.xml><?xml version="1.0" encoding="utf-8"?>
<styleSheet xmlns="http://schemas.openxmlformats.org/spreadsheetml/2006/main">
  <numFmts count="18">
    <numFmt numFmtId="164" formatCode="General"/>
    <numFmt numFmtId="165" formatCode="[$-40C]DD/MM/YYYY"/>
    <numFmt numFmtId="166" formatCode="0"/>
    <numFmt numFmtId="167" formatCode="General"/>
    <numFmt numFmtId="168" formatCode="0.00,%"/>
    <numFmt numFmtId="169" formatCode="0\ %"/>
    <numFmt numFmtId="170" formatCode="#,##0"/>
    <numFmt numFmtId="171" formatCode="0.00"/>
    <numFmt numFmtId="172" formatCode="0.00000"/>
    <numFmt numFmtId="173" formatCode="0,%"/>
    <numFmt numFmtId="174" formatCode="0.0%"/>
    <numFmt numFmtId="175" formatCode="0.000000"/>
    <numFmt numFmtId="176" formatCode="YYYY"/>
    <numFmt numFmtId="177" formatCode="0.00000,%"/>
    <numFmt numFmtId="178" formatCode="#,##0.00"/>
    <numFmt numFmtId="179" formatCode="DD/MM/YY"/>
    <numFmt numFmtId="180" formatCode="0.00\ %"/>
    <numFmt numFmtId="181" formatCode="@"/>
  </numFmts>
  <fonts count="2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2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10"/>
      <name val="Arial"/>
      <family val="2"/>
      <charset val="1"/>
    </font>
    <font>
      <b val="true"/>
      <u val="single"/>
      <sz val="11"/>
      <name val="Arial"/>
      <family val="2"/>
      <charset val="1"/>
    </font>
    <font>
      <b val="true"/>
      <sz val="12"/>
      <name val="Arial"/>
      <family val="2"/>
      <charset val="1"/>
    </font>
    <font>
      <i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sz val="11"/>
      <name val="Arial"/>
      <family val="2"/>
      <charset val="1"/>
    </font>
    <font>
      <b val="true"/>
      <sz val="9"/>
      <name val="Arial"/>
      <family val="2"/>
      <charset val="1"/>
    </font>
    <font>
      <u val="single"/>
      <sz val="10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b val="true"/>
      <i val="true"/>
      <u val="singl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u val="single"/>
      <sz val="8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CC99"/>
        <bgColor rgb="FFFFFF99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00B8FF"/>
        <bgColor rgb="FF00DCFF"/>
      </patternFill>
    </fill>
    <fill>
      <patternFill patternType="solid">
        <fgColor rgb="FFCCFFCC"/>
        <bgColor rgb="FFCCFFFF"/>
      </patternFill>
    </fill>
    <fill>
      <patternFill patternType="solid">
        <fgColor rgb="FF00A933"/>
        <bgColor rgb="FF008000"/>
      </patternFill>
    </fill>
    <fill>
      <patternFill patternType="solid">
        <fgColor rgb="FF00DCFF"/>
        <bgColor rgb="FF00FFFF"/>
      </patternFill>
    </fill>
    <fill>
      <patternFill patternType="solid">
        <fgColor rgb="FFA9D18E"/>
        <bgColor rgb="FF99CCFF"/>
      </patternFill>
    </fill>
    <fill>
      <patternFill patternType="solid">
        <fgColor rgb="FFED7D31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4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4" borderId="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6" fontId="0" fillId="4" borderId="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0" fillId="4" borderId="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4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5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5" borderId="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0" fillId="5" borderId="13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4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7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2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0" fillId="0" borderId="2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8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81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8" fontId="10" fillId="4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8" fontId="10" fillId="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7" fillId="9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5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78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0" fillId="0" borderId="28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7" fillId="10" borderId="1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4" fillId="0" borderId="1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8" fontId="0" fillId="0" borderId="14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0" borderId="28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71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8" borderId="1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8" fontId="7" fillId="0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0" borderId="28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0" fillId="10" borderId="1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4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8" fontId="0" fillId="0" borderId="2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0" fillId="0" borderId="19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0" fillId="10" borderId="1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4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11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8" fontId="7" fillId="11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12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8" fontId="7" fillId="12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8" fontId="0" fillId="0" borderId="2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8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0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8" fontId="7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D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00B8FF"/>
      <rgbColor rgb="FF99CC00"/>
      <rgbColor rgb="FFFFCC00"/>
      <rgbColor rgb="FFFF9900"/>
      <rgbColor rgb="FFED7D31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198000</xdr:colOff>
      <xdr:row>52</xdr:row>
      <xdr:rowOff>111960</xdr:rowOff>
    </xdr:to>
    <xdr:sp>
      <xdr:nvSpPr>
        <xdr:cNvPr id="0" name="CustomShape 1" hidden="1"/>
        <xdr:cNvSpPr/>
      </xdr:nvSpPr>
      <xdr:spPr>
        <a:xfrm>
          <a:off x="0" y="0"/>
          <a:ext cx="10062000" cy="98773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10</xdr:col>
      <xdr:colOff>198720</xdr:colOff>
      <xdr:row>49</xdr:row>
      <xdr:rowOff>26280</xdr:rowOff>
    </xdr:to>
    <xdr:sp>
      <xdr:nvSpPr>
        <xdr:cNvPr id="1" name="CustomShape 1" hidden="1"/>
        <xdr:cNvSpPr/>
      </xdr:nvSpPr>
      <xdr:spPr>
        <a:xfrm>
          <a:off x="0" y="0"/>
          <a:ext cx="10062720" cy="930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22" activeCellId="0" sqref="D22"/>
    </sheetView>
  </sheetViews>
  <sheetFormatPr defaultRowHeight="12.75" zeroHeight="false" outlineLevelRow="0" outlineLevelCol="0"/>
  <cols>
    <col collapsed="false" customWidth="true" hidden="false" outlineLevel="0" max="1" min="1" style="1" width="37.42"/>
    <col collapsed="false" customWidth="true" hidden="false" outlineLevel="0" max="2" min="2" style="1" width="29.86"/>
    <col collapsed="false" customWidth="true" hidden="false" outlineLevel="0" max="3" min="3" style="1" width="11.42"/>
    <col collapsed="false" customWidth="true" hidden="false" outlineLevel="0" max="4" min="4" style="1" width="15.42"/>
    <col collapsed="false" customWidth="true" hidden="false" outlineLevel="0" max="8" min="5" style="1" width="11.42"/>
    <col collapsed="false" customWidth="true" hidden="true" outlineLevel="0" max="9" min="9" style="1" width="19.99"/>
    <col collapsed="false" customWidth="true" hidden="true" outlineLevel="0" max="10" min="10" style="1" width="10.85"/>
    <col collapsed="false" customWidth="true" hidden="false" outlineLevel="0" max="257" min="11" style="1" width="11.42"/>
    <col collapsed="false" customWidth="true" hidden="false" outlineLevel="0" max="1025" min="258" style="0" width="11.42"/>
  </cols>
  <sheetData>
    <row r="1" customFormat="false" ht="15.75" hidden="false" customHeight="false" outlineLevel="0" collapsed="false">
      <c r="A1" s="2" t="s">
        <v>0</v>
      </c>
      <c r="B1" s="2"/>
      <c r="C1" s="2"/>
      <c r="D1" s="2"/>
      <c r="H1" s="3"/>
    </row>
    <row r="3" customFormat="false" ht="12.75" hidden="false" customHeight="false" outlineLevel="0" collapsed="false">
      <c r="I3" s="4" t="s">
        <v>1</v>
      </c>
      <c r="J3" s="5" t="n">
        <v>43466</v>
      </c>
    </row>
    <row r="4" customFormat="false" ht="20.1" hidden="false" customHeight="true" outlineLevel="0" collapsed="false">
      <c r="A4" s="6" t="s">
        <v>2</v>
      </c>
      <c r="B4" s="7" t="s">
        <v>3</v>
      </c>
      <c r="I4" s="8" t="s">
        <v>4</v>
      </c>
      <c r="J4" s="5" t="n">
        <v>43831</v>
      </c>
    </row>
    <row r="5" customFormat="false" ht="20.1" hidden="false" customHeight="true" outlineLevel="0" collapsed="false">
      <c r="A5" s="6" t="s">
        <v>5</v>
      </c>
      <c r="B5" s="9" t="n">
        <v>9</v>
      </c>
      <c r="D5" s="10" t="s">
        <v>6</v>
      </c>
      <c r="E5" s="11" t="n">
        <f aca="false">IF(B4="Contrôleur 2ème classe",LOOKUP(B5,contr2),IF(B4="Contrôleur 1ère classe",LOOKUP(B5,contr1),IF(B4="Contrôleur Principal",LOOKUP(B5,contrp))))</f>
        <v>452</v>
      </c>
      <c r="I5" s="8" t="s">
        <v>7</v>
      </c>
      <c r="J5" s="5"/>
    </row>
    <row r="6" customFormat="false" ht="20.1" hidden="false" customHeight="true" outlineLevel="0" collapsed="false">
      <c r="A6" s="6" t="s">
        <v>8</v>
      </c>
      <c r="B6" s="12" t="s">
        <v>9</v>
      </c>
      <c r="I6" s="13" t="s">
        <v>10</v>
      </c>
      <c r="J6" s="5"/>
    </row>
    <row r="7" customFormat="false" ht="20.1" hidden="false" customHeight="true" outlineLevel="0" collapsed="false">
      <c r="A7" s="14"/>
      <c r="B7" s="15"/>
      <c r="I7" s="8" t="s">
        <v>11</v>
      </c>
    </row>
    <row r="8" customFormat="false" ht="20.1" hidden="false" customHeight="true" outlineLevel="0" collapsed="false">
      <c r="A8" s="16" t="s">
        <v>12</v>
      </c>
      <c r="B8" s="17" t="s">
        <v>7</v>
      </c>
      <c r="I8" s="8" t="s">
        <v>13</v>
      </c>
    </row>
    <row r="9" customFormat="false" ht="12.75" hidden="false" customHeight="false" outlineLevel="0" collapsed="false">
      <c r="I9" s="8" t="s">
        <v>14</v>
      </c>
    </row>
    <row r="10" customFormat="false" ht="20.1" hidden="false" customHeight="true" outlineLevel="0" collapsed="false">
      <c r="A10" s="18" t="s">
        <v>15</v>
      </c>
      <c r="B10" s="19" t="n">
        <v>0.4</v>
      </c>
      <c r="I10" s="8" t="s">
        <v>16</v>
      </c>
    </row>
    <row r="11" customFormat="false" ht="20.1" hidden="false" customHeight="true" outlineLevel="0" collapsed="false">
      <c r="A11" s="20" t="s">
        <v>17</v>
      </c>
      <c r="B11" s="21" t="n">
        <v>1</v>
      </c>
      <c r="E11" s="22"/>
      <c r="I11" s="8" t="s">
        <v>18</v>
      </c>
    </row>
    <row r="12" customFormat="false" ht="20.1" hidden="false" customHeight="true" outlineLevel="0" collapsed="false">
      <c r="A12" s="20" t="s">
        <v>19</v>
      </c>
      <c r="B12" s="23" t="n">
        <v>100</v>
      </c>
      <c r="I12" s="8" t="s">
        <v>20</v>
      </c>
    </row>
    <row r="13" customFormat="false" ht="20.1" hidden="false" customHeight="true" outlineLevel="0" collapsed="false">
      <c r="A13" s="20" t="s">
        <v>21</v>
      </c>
      <c r="B13" s="24"/>
      <c r="G13" s="25"/>
      <c r="I13" s="8" t="s">
        <v>22</v>
      </c>
    </row>
    <row r="14" customFormat="false" ht="20.1" hidden="false" customHeight="true" outlineLevel="0" collapsed="false">
      <c r="A14" s="20" t="s">
        <v>23</v>
      </c>
      <c r="B14" s="24" t="n">
        <v>26.22</v>
      </c>
      <c r="C14" s="25"/>
      <c r="I14" s="26" t="s">
        <v>24</v>
      </c>
    </row>
    <row r="15" customFormat="false" ht="12.8" hidden="false" customHeight="false" outlineLevel="0" collapsed="false">
      <c r="A15" s="27" t="s">
        <v>25</v>
      </c>
      <c r="B15" s="28"/>
      <c r="C15" s="25"/>
      <c r="I15" s="29"/>
    </row>
    <row r="16" customFormat="false" ht="20.1" hidden="false" customHeight="true" outlineLevel="0" collapsed="false">
      <c r="A16" s="14"/>
      <c r="B16" s="30"/>
      <c r="C16" s="25"/>
      <c r="E16" s="31"/>
    </row>
    <row r="17" customFormat="false" ht="20.1" hidden="false" customHeight="true" outlineLevel="0" collapsed="false">
      <c r="A17" s="18" t="s">
        <v>26</v>
      </c>
      <c r="B17" s="32" t="n">
        <v>56.05</v>
      </c>
      <c r="C17" s="25"/>
    </row>
    <row r="18" customFormat="false" ht="20.1" hidden="false" customHeight="true" outlineLevel="0" collapsed="false">
      <c r="A18" s="33" t="s">
        <v>27</v>
      </c>
      <c r="B18" s="34" t="n">
        <v>54</v>
      </c>
      <c r="F18" s="35"/>
    </row>
    <row r="19" customFormat="false" ht="20.1" hidden="false" customHeight="true" outlineLevel="0" collapsed="false">
      <c r="A19" s="36" t="s">
        <v>28</v>
      </c>
      <c r="B19" s="37" t="n">
        <v>0.036</v>
      </c>
    </row>
    <row r="23" customFormat="false" ht="12.75" hidden="false" customHeight="false" outlineLevel="0" collapsed="false">
      <c r="A23" s="38" t="s">
        <v>29</v>
      </c>
      <c r="B23" s="39" t="str">
        <f aca="false">IF(B6="Oui",CONCATENATE(B4," ","IDF",B5),CONCATENATE(B4," ","PRO",B5))</f>
        <v>Contrôleur 1ère classe PRO9</v>
      </c>
    </row>
    <row r="24" customFormat="false" ht="12.75" hidden="false" customHeight="false" outlineLevel="0" collapsed="false">
      <c r="A24" s="38"/>
      <c r="B24" s="39" t="str">
        <f aca="false">CONCATENATE(B4," ",B8)</f>
        <v>Contrôleur 1ère classe Unité territoriale</v>
      </c>
    </row>
    <row r="33" customFormat="false" ht="12.75" hidden="false" customHeight="false" outlineLevel="0" collapsed="false">
      <c r="A33" s="40" t="n">
        <v>0</v>
      </c>
    </row>
    <row r="34" customFormat="false" ht="12.75" hidden="false" customHeight="false" outlineLevel="0" collapsed="false">
      <c r="A34" s="40" t="n">
        <v>0.01</v>
      </c>
    </row>
    <row r="35" customFormat="false" ht="12.75" hidden="false" customHeight="false" outlineLevel="0" collapsed="false">
      <c r="A35" s="40" t="n">
        <v>0.4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D1"/>
    <mergeCell ref="A23:A24"/>
  </mergeCells>
  <dataValidations count="8">
    <dataValidation allowBlank="true" operator="equal" showDropDown="false" showErrorMessage="true" showInputMessage="false" sqref="B7" type="none">
      <formula1>0</formula1>
      <formula2>0</formula2>
    </dataValidation>
    <dataValidation allowBlank="true" operator="between" showDropDown="false" showErrorMessage="true" showInputMessage="false" sqref="B11" type="whole">
      <formula1>0</formula1>
      <formula2>10</formula2>
    </dataValidation>
    <dataValidation allowBlank="true" operator="equal" showDropDown="false" showErrorMessage="true" showInputMessage="false" sqref="B12" type="list">
      <formula1>"100,90,80,70,60,50"</formula1>
      <formula2>0</formula2>
    </dataValidation>
    <dataValidation allowBlank="false" operator="equal" showDropDown="false" showErrorMessage="true" showInputMessage="false" sqref="A4:A6 B6" type="list">
      <formula1>"Oui,Non"</formula1>
      <formula2>0</formula2>
    </dataValidation>
    <dataValidation allowBlank="false" operator="equal" showDropDown="false" showErrorMessage="true" showInputMessage="false" sqref="B4" type="list">
      <formula1>"Contrôleur 2ème classe,Contrôleur 1ère classe,Contrôleur principal"</formula1>
      <formula2>0</formula2>
    </dataValidation>
    <dataValidation allowBlank="false" operator="equal" showDropDown="false" showErrorMessage="true" showInputMessage="false" sqref="B5" type="list">
      <formula1>"1,2,3,4,5,6,7,8,9,10,11,12,13"</formula1>
      <formula2>0</formula2>
    </dataValidation>
    <dataValidation allowBlank="true" errorTitle="Indiquez votre statut" operator="equal" showDropDown="false" showErrorMessage="true" showInputMessage="false" sqref="B8" type="list">
      <formula1>$I$3:$I$14</formula1>
      <formula2>0</formula2>
    </dataValidation>
    <dataValidation allowBlank="true" error="Plus d'infos :&#10;&#10;http://www.fonction-publique.gouv.fr/fonction-publique/statut-et-remunerations-48" errorTitle="Indiquez taux le cas échéant" operator="equal" showDropDown="false" showErrorMessage="true" showInputMessage="false" sqref="B10" type="list">
      <formula1>$A$33:$A$35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2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4" activeCellId="0" sqref="B4"/>
    </sheetView>
  </sheetViews>
  <sheetFormatPr defaultRowHeight="12.75" zeroHeight="false" outlineLevelRow="0" outlineLevelCol="0"/>
  <cols>
    <col collapsed="false" customWidth="true" hidden="false" outlineLevel="0" max="1" min="1" style="41" width="32.15"/>
    <col collapsed="false" customWidth="true" hidden="false" outlineLevel="0" max="2" min="2" style="41" width="11.42"/>
    <col collapsed="false" customWidth="true" hidden="false" outlineLevel="0" max="4" min="3" style="0" width="8.71"/>
    <col collapsed="false" customWidth="true" hidden="false" outlineLevel="0" max="5" min="5" style="0" width="18.71"/>
    <col collapsed="false" customWidth="true" hidden="false" outlineLevel="0" max="9" min="6" style="0" width="8.71"/>
    <col collapsed="false" customWidth="true" hidden="false" outlineLevel="0" max="10" min="10" style="0" width="18.42"/>
    <col collapsed="false" customWidth="true" hidden="false" outlineLevel="0" max="11" min="11" style="0" width="10.71"/>
    <col collapsed="false" customWidth="true" hidden="false" outlineLevel="0" max="13" min="12" style="0" width="18.42"/>
    <col collapsed="false" customWidth="true" hidden="false" outlineLevel="0" max="14" min="14" style="0" width="15.15"/>
    <col collapsed="false" customWidth="true" hidden="false" outlineLevel="0" max="1023" min="15" style="0" width="8.71"/>
    <col collapsed="false" customWidth="true" hidden="false" outlineLevel="0" max="1025" min="1024" style="0" width="9.13"/>
  </cols>
  <sheetData>
    <row r="1" customFormat="false" ht="12.75" hidden="false" customHeight="false" outlineLevel="0" collapsed="false">
      <c r="A1" s="38" t="s">
        <v>30</v>
      </c>
      <c r="B1" s="42" t="str">
        <f aca="false">IF(SAISIE!B6="Oui",CONCATENATE(SAISIE!B4," ","IDF",SAISIE!B5),CONCATENATE(SAISIE!B4," ","PRO",SAISIE!B5))</f>
        <v>Contrôleur 1ère classe PRO9</v>
      </c>
      <c r="C1" s="42"/>
      <c r="D1" s="42"/>
    </row>
    <row r="2" customFormat="false" ht="12.75" hidden="false" customHeight="false" outlineLevel="0" collapsed="false">
      <c r="A2" s="38"/>
      <c r="B2" s="42" t="str">
        <f aca="false">CONCATENATE("Contrôleur"," ",SAISIE!B8)</f>
        <v>Contrôleur Unité territoriale</v>
      </c>
      <c r="C2" s="42"/>
      <c r="D2" s="42"/>
    </row>
    <row r="3" customFormat="false" ht="12.75" hidden="false" customHeight="false" outlineLevel="0" collapsed="false">
      <c r="A3" s="38"/>
      <c r="B3" s="43"/>
      <c r="C3" s="43"/>
      <c r="D3" s="43"/>
    </row>
    <row r="4" customFormat="false" ht="12.75" hidden="false" customHeight="false" outlineLevel="0" collapsed="false">
      <c r="A4" s="44" t="s">
        <v>31</v>
      </c>
      <c r="B4" s="45" t="n">
        <v>106.76</v>
      </c>
      <c r="C4" s="0" t="n">
        <f aca="false">B4*12</f>
        <v>1281.12</v>
      </c>
    </row>
    <row r="5" customFormat="false" ht="12.75" hidden="false" customHeight="false" outlineLevel="0" collapsed="false">
      <c r="L5" s="46"/>
    </row>
    <row r="6" customFormat="false" ht="12.75" hidden="false" customHeight="false" outlineLevel="0" collapsed="false">
      <c r="E6" s="47" t="s">
        <v>32</v>
      </c>
      <c r="F6" s="46" t="n">
        <v>55.05</v>
      </c>
    </row>
    <row r="8" customFormat="false" ht="12.75" hidden="false" customHeight="false" outlineLevel="0" collapsed="false">
      <c r="B8" s="48" t="s">
        <v>33</v>
      </c>
      <c r="C8" s="48"/>
      <c r="D8" s="48"/>
      <c r="E8" s="48" t="s">
        <v>34</v>
      </c>
      <c r="F8" s="48"/>
    </row>
    <row r="9" customFormat="false" ht="12.75" hidden="false" customHeight="false" outlineLevel="0" collapsed="false">
      <c r="B9" s="47"/>
      <c r="C9" s="38" t="s">
        <v>35</v>
      </c>
      <c r="D9" s="38"/>
      <c r="E9" s="47" t="s">
        <v>36</v>
      </c>
      <c r="F9" s="46" t="n">
        <v>40</v>
      </c>
    </row>
    <row r="10" customFormat="false" ht="12.75" hidden="false" customHeight="false" outlineLevel="0" collapsed="false">
      <c r="A10" s="41" t="s">
        <v>37</v>
      </c>
      <c r="B10" s="47" t="s">
        <v>38</v>
      </c>
      <c r="C10" s="0" t="s">
        <v>39</v>
      </c>
      <c r="D10" s="0" t="s">
        <v>40</v>
      </c>
      <c r="E10" s="0" t="s">
        <v>39</v>
      </c>
      <c r="F10" s="0" t="s">
        <v>40</v>
      </c>
    </row>
    <row r="11" customFormat="false" ht="12.75" hidden="false" customHeight="false" outlineLevel="0" collapsed="false">
      <c r="A11" s="41" t="s">
        <v>41</v>
      </c>
      <c r="B11" s="49" t="n">
        <v>1</v>
      </c>
      <c r="C11" s="50" t="n">
        <f aca="false">ROUND(D11/12,2)</f>
        <v>227.78</v>
      </c>
      <c r="D11" s="50" t="n">
        <v>2733.32</v>
      </c>
      <c r="E11" s="51" t="n">
        <f aca="false">F11/12</f>
        <v>183.5</v>
      </c>
      <c r="F11" s="52" t="n">
        <f aca="false">$F$9*$F$6</f>
        <v>2202</v>
      </c>
    </row>
    <row r="12" customFormat="false" ht="12.75" hidden="false" customHeight="false" outlineLevel="0" collapsed="false">
      <c r="A12" s="41" t="s">
        <v>42</v>
      </c>
      <c r="B12" s="53" t="n">
        <v>2</v>
      </c>
      <c r="C12" s="50" t="n">
        <f aca="false">ROUND(D12/12,2)</f>
        <v>227.78</v>
      </c>
      <c r="D12" s="50" t="n">
        <v>2733.32</v>
      </c>
      <c r="E12" s="54" t="n">
        <f aca="false">F12/12</f>
        <v>183.5</v>
      </c>
      <c r="F12" s="52" t="n">
        <f aca="false">$F$9*$F$6</f>
        <v>2202</v>
      </c>
    </row>
    <row r="13" customFormat="false" ht="12.75" hidden="false" customHeight="false" outlineLevel="0" collapsed="false">
      <c r="A13" s="41" t="s">
        <v>43</v>
      </c>
      <c r="B13" s="53" t="n">
        <v>3</v>
      </c>
      <c r="C13" s="50" t="n">
        <f aca="false">ROUND(D13/12,2)</f>
        <v>227.78</v>
      </c>
      <c r="D13" s="50" t="n">
        <v>2733.32</v>
      </c>
      <c r="E13" s="54" t="n">
        <f aca="false">F13/12</f>
        <v>183.5</v>
      </c>
      <c r="F13" s="52" t="n">
        <f aca="false">$F$9*$F$6</f>
        <v>2202</v>
      </c>
    </row>
    <row r="14" customFormat="false" ht="12.75" hidden="false" customHeight="false" outlineLevel="0" collapsed="false">
      <c r="A14" s="41" t="s">
        <v>44</v>
      </c>
      <c r="B14" s="53" t="n">
        <v>4</v>
      </c>
      <c r="C14" s="50" t="n">
        <f aca="false">ROUND(D14/12,2)</f>
        <v>227.78</v>
      </c>
      <c r="D14" s="50" t="n">
        <v>2733.32</v>
      </c>
      <c r="E14" s="54" t="n">
        <f aca="false">F14/12</f>
        <v>183.5</v>
      </c>
      <c r="F14" s="52" t="n">
        <f aca="false">$F$9*$F$6</f>
        <v>2202</v>
      </c>
    </row>
    <row r="15" customFormat="false" ht="12.75" hidden="false" customHeight="false" outlineLevel="0" collapsed="false">
      <c r="A15" s="41" t="s">
        <v>45</v>
      </c>
      <c r="B15" s="53" t="n">
        <v>5</v>
      </c>
      <c r="C15" s="50" t="n">
        <f aca="false">ROUND(D15/12,2)</f>
        <v>227.78</v>
      </c>
      <c r="D15" s="50" t="n">
        <v>2733.32</v>
      </c>
      <c r="E15" s="54" t="n">
        <f aca="false">F15/12</f>
        <v>183.5</v>
      </c>
      <c r="F15" s="52" t="n">
        <f aca="false">$F$9*$F$6</f>
        <v>2202</v>
      </c>
    </row>
    <row r="16" customFormat="false" ht="12.75" hidden="false" customHeight="false" outlineLevel="0" collapsed="false">
      <c r="A16" s="41" t="s">
        <v>46</v>
      </c>
      <c r="B16" s="53" t="n">
        <v>6</v>
      </c>
      <c r="C16" s="50" t="n">
        <f aca="false">ROUND(D16/12,2)</f>
        <v>227.78</v>
      </c>
      <c r="D16" s="50" t="n">
        <v>2733.32</v>
      </c>
      <c r="E16" s="54" t="n">
        <f aca="false">F16/12</f>
        <v>183.5</v>
      </c>
      <c r="F16" s="52" t="n">
        <f aca="false">$F$9*$F$6</f>
        <v>2202</v>
      </c>
    </row>
    <row r="17" customFormat="false" ht="12.75" hidden="false" customHeight="false" outlineLevel="0" collapsed="false">
      <c r="A17" s="41" t="s">
        <v>47</v>
      </c>
      <c r="B17" s="55" t="n">
        <v>7</v>
      </c>
      <c r="C17" s="56" t="n">
        <f aca="false">ROUND(D17/12,2)</f>
        <v>299.35</v>
      </c>
      <c r="D17" s="56" t="n">
        <v>3592.25</v>
      </c>
      <c r="E17" s="54" t="n">
        <f aca="false">F17/12</f>
        <v>183.5</v>
      </c>
      <c r="F17" s="52" t="n">
        <f aca="false">$F$9*$F$6</f>
        <v>2202</v>
      </c>
    </row>
    <row r="18" customFormat="false" ht="12.75" hidden="false" customHeight="false" outlineLevel="0" collapsed="false">
      <c r="A18" s="41" t="s">
        <v>48</v>
      </c>
      <c r="B18" s="55" t="n">
        <v>8</v>
      </c>
      <c r="C18" s="56" t="n">
        <f aca="false">ROUND(D18/12,2)</f>
        <v>299.35</v>
      </c>
      <c r="D18" s="56" t="n">
        <v>3592.25</v>
      </c>
      <c r="E18" s="54" t="n">
        <f aca="false">F18/12</f>
        <v>183.5</v>
      </c>
      <c r="F18" s="52" t="n">
        <f aca="false">$F$9*$F$6</f>
        <v>2202</v>
      </c>
    </row>
    <row r="19" customFormat="false" ht="12.75" hidden="false" customHeight="false" outlineLevel="0" collapsed="false">
      <c r="A19" s="41" t="s">
        <v>49</v>
      </c>
      <c r="B19" s="55" t="n">
        <v>9</v>
      </c>
      <c r="C19" s="56" t="n">
        <f aca="false">ROUND(D19/12,2)</f>
        <v>299.35</v>
      </c>
      <c r="D19" s="56" t="n">
        <v>3592.25</v>
      </c>
      <c r="E19" s="54" t="n">
        <f aca="false">F19/12</f>
        <v>183.5</v>
      </c>
      <c r="F19" s="52" t="n">
        <f aca="false">$F$9*$F$6</f>
        <v>2202</v>
      </c>
    </row>
    <row r="20" customFormat="false" ht="12.75" hidden="false" customHeight="false" outlineLevel="0" collapsed="false">
      <c r="A20" s="41" t="s">
        <v>50</v>
      </c>
      <c r="B20" s="55" t="n">
        <v>10</v>
      </c>
      <c r="C20" s="57" t="n">
        <f aca="false">ROUND(D20/12,2)</f>
        <v>299.35</v>
      </c>
      <c r="D20" s="56" t="n">
        <v>3592.25</v>
      </c>
      <c r="E20" s="54" t="n">
        <f aca="false">F20/12</f>
        <v>183.5</v>
      </c>
      <c r="F20" s="52" t="n">
        <f aca="false">$F$9*$F$6</f>
        <v>2202</v>
      </c>
    </row>
    <row r="21" customFormat="false" ht="12.75" hidden="false" customHeight="false" outlineLevel="0" collapsed="false">
      <c r="A21" s="41" t="s">
        <v>51</v>
      </c>
      <c r="B21" s="55" t="n">
        <v>11</v>
      </c>
      <c r="C21" s="57" t="n">
        <f aca="false">ROUND(D21/12,2)</f>
        <v>299.35</v>
      </c>
      <c r="D21" s="56" t="n">
        <v>3592.25</v>
      </c>
      <c r="E21" s="54" t="n">
        <f aca="false">F21/12</f>
        <v>183.5</v>
      </c>
      <c r="F21" s="52" t="n">
        <f aca="false">$F$9*$F$6</f>
        <v>2202</v>
      </c>
    </row>
    <row r="22" customFormat="false" ht="12.75" hidden="false" customHeight="false" outlineLevel="0" collapsed="false">
      <c r="A22" s="41" t="s">
        <v>52</v>
      </c>
      <c r="B22" s="55" t="n">
        <v>12</v>
      </c>
      <c r="C22" s="57" t="n">
        <f aca="false">ROUND(D22/12,2)</f>
        <v>299.35</v>
      </c>
      <c r="D22" s="56" t="n">
        <v>3592.25</v>
      </c>
      <c r="E22" s="54" t="n">
        <f aca="false">F22/12</f>
        <v>183.5</v>
      </c>
      <c r="F22" s="52" t="n">
        <f aca="false">$F$9*$F$6</f>
        <v>2202</v>
      </c>
    </row>
    <row r="23" customFormat="false" ht="12.75" hidden="false" customHeight="false" outlineLevel="0" collapsed="false">
      <c r="A23" s="41" t="s">
        <v>53</v>
      </c>
      <c r="B23" s="55" t="n">
        <v>13</v>
      </c>
      <c r="C23" s="57" t="n">
        <f aca="false">ROUND(D23/12,2)</f>
        <v>299.35</v>
      </c>
      <c r="D23" s="56" t="n">
        <v>3592.25</v>
      </c>
      <c r="E23" s="54" t="n">
        <f aca="false">F23/12</f>
        <v>183.5</v>
      </c>
      <c r="F23" s="52" t="n">
        <f aca="false">$F$9*$F$6</f>
        <v>2202</v>
      </c>
    </row>
    <row r="24" customFormat="false" ht="12.75" hidden="false" customHeight="false" outlineLevel="0" collapsed="false">
      <c r="B24" s="47"/>
      <c r="C24" s="38" t="s">
        <v>54</v>
      </c>
      <c r="D24" s="38"/>
      <c r="E24" s="47" t="s">
        <v>36</v>
      </c>
      <c r="F24" s="46" t="n">
        <v>40</v>
      </c>
    </row>
    <row r="25" customFormat="false" ht="12.75" hidden="false" customHeight="false" outlineLevel="0" collapsed="false">
      <c r="A25" s="41" t="s">
        <v>37</v>
      </c>
      <c r="B25" s="47" t="s">
        <v>38</v>
      </c>
      <c r="C25" s="0" t="s">
        <v>39</v>
      </c>
      <c r="D25" s="0" t="s">
        <v>40</v>
      </c>
      <c r="E25" s="0" t="s">
        <v>39</v>
      </c>
      <c r="F25" s="0" t="s">
        <v>40</v>
      </c>
    </row>
    <row r="26" customFormat="false" ht="12.75" hidden="false" customHeight="false" outlineLevel="0" collapsed="false">
      <c r="A26" s="41" t="s">
        <v>55</v>
      </c>
      <c r="B26" s="49" t="n">
        <v>1</v>
      </c>
      <c r="C26" s="50" t="n">
        <f aca="false">ROUND(D26/12,2)</f>
        <v>217.89</v>
      </c>
      <c r="D26" s="50" t="n">
        <v>2614.7</v>
      </c>
      <c r="E26" s="51" t="n">
        <f aca="false">F26/12</f>
        <v>183.5</v>
      </c>
      <c r="F26" s="52" t="n">
        <f aca="false">$F$9*$F$6</f>
        <v>2202</v>
      </c>
    </row>
    <row r="27" customFormat="false" ht="12.75" hidden="false" customHeight="false" outlineLevel="0" collapsed="false">
      <c r="A27" s="41" t="s">
        <v>56</v>
      </c>
      <c r="B27" s="53" t="n">
        <v>2</v>
      </c>
      <c r="C27" s="50" t="n">
        <f aca="false">ROUND(D27/12,2)</f>
        <v>217.89</v>
      </c>
      <c r="D27" s="50" t="n">
        <v>2614.7</v>
      </c>
      <c r="E27" s="54" t="n">
        <f aca="false">F27/12</f>
        <v>183.5</v>
      </c>
      <c r="F27" s="52" t="n">
        <f aca="false">$F$9*$F$6</f>
        <v>2202</v>
      </c>
    </row>
    <row r="28" customFormat="false" ht="12.75" hidden="false" customHeight="false" outlineLevel="0" collapsed="false">
      <c r="A28" s="41" t="s">
        <v>57</v>
      </c>
      <c r="B28" s="53" t="n">
        <v>3</v>
      </c>
      <c r="C28" s="50" t="n">
        <f aca="false">ROUND(D28/12,2)</f>
        <v>217.89</v>
      </c>
      <c r="D28" s="50" t="n">
        <v>2614.7</v>
      </c>
      <c r="E28" s="54" t="n">
        <f aca="false">F28/12</f>
        <v>183.5</v>
      </c>
      <c r="F28" s="52" t="n">
        <f aca="false">$F$9*$F$6</f>
        <v>2202</v>
      </c>
    </row>
    <row r="29" customFormat="false" ht="12.75" hidden="false" customHeight="false" outlineLevel="0" collapsed="false">
      <c r="A29" s="41" t="s">
        <v>58</v>
      </c>
      <c r="B29" s="53" t="n">
        <v>4</v>
      </c>
      <c r="C29" s="50" t="n">
        <f aca="false">ROUND(D29/12,2)</f>
        <v>217.89</v>
      </c>
      <c r="D29" s="50" t="n">
        <v>2614.7</v>
      </c>
      <c r="E29" s="54" t="n">
        <f aca="false">F29/12</f>
        <v>183.5</v>
      </c>
      <c r="F29" s="52" t="n">
        <f aca="false">$F$9*$F$6</f>
        <v>2202</v>
      </c>
    </row>
    <row r="30" customFormat="false" ht="12.75" hidden="false" customHeight="false" outlineLevel="0" collapsed="false">
      <c r="A30" s="41" t="s">
        <v>59</v>
      </c>
      <c r="B30" s="53" t="n">
        <v>5</v>
      </c>
      <c r="C30" s="50" t="n">
        <f aca="false">ROUND(D30/12,2)</f>
        <v>217.89</v>
      </c>
      <c r="D30" s="50" t="n">
        <v>2614.7</v>
      </c>
      <c r="E30" s="54" t="n">
        <f aca="false">F30/12</f>
        <v>183.5</v>
      </c>
      <c r="F30" s="52" t="n">
        <f aca="false">$F$9*$F$6</f>
        <v>2202</v>
      </c>
    </row>
    <row r="31" customFormat="false" ht="12.75" hidden="false" customHeight="false" outlineLevel="0" collapsed="false">
      <c r="A31" s="41" t="s">
        <v>60</v>
      </c>
      <c r="B31" s="53" t="n">
        <v>6</v>
      </c>
      <c r="C31" s="50" t="n">
        <f aca="false">ROUND(D31/12,2)</f>
        <v>217.89</v>
      </c>
      <c r="D31" s="50" t="n">
        <v>2614.7</v>
      </c>
      <c r="E31" s="54" t="n">
        <f aca="false">F31/12</f>
        <v>183.5</v>
      </c>
      <c r="F31" s="52" t="n">
        <f aca="false">$F$9*$F$6</f>
        <v>2202</v>
      </c>
    </row>
    <row r="32" customFormat="false" ht="12.75" hidden="false" customHeight="false" outlineLevel="0" collapsed="false">
      <c r="A32" s="41" t="s">
        <v>61</v>
      </c>
      <c r="B32" s="55" t="n">
        <v>7</v>
      </c>
      <c r="C32" s="56" t="n">
        <f aca="false">ROUND(D32/12,2)</f>
        <v>279.71</v>
      </c>
      <c r="D32" s="56" t="n">
        <v>3356.47</v>
      </c>
      <c r="E32" s="54" t="n">
        <f aca="false">F32/12</f>
        <v>183.5</v>
      </c>
      <c r="F32" s="52" t="n">
        <f aca="false">$F$9*$F$6</f>
        <v>2202</v>
      </c>
    </row>
    <row r="33" customFormat="false" ht="12.75" hidden="false" customHeight="false" outlineLevel="0" collapsed="false">
      <c r="A33" s="41" t="s">
        <v>62</v>
      </c>
      <c r="B33" s="55" t="n">
        <v>8</v>
      </c>
      <c r="C33" s="56" t="n">
        <f aca="false">ROUND(D33/12,2)</f>
        <v>279.71</v>
      </c>
      <c r="D33" s="56" t="n">
        <v>3356.47</v>
      </c>
      <c r="E33" s="54" t="n">
        <f aca="false">F33/12</f>
        <v>183.5</v>
      </c>
      <c r="F33" s="52" t="n">
        <f aca="false">$F$9*$F$6</f>
        <v>2202</v>
      </c>
    </row>
    <row r="34" customFormat="false" ht="12.75" hidden="false" customHeight="false" outlineLevel="0" collapsed="false">
      <c r="A34" s="41" t="s">
        <v>63</v>
      </c>
      <c r="B34" s="55" t="n">
        <v>9</v>
      </c>
      <c r="C34" s="56" t="n">
        <f aca="false">ROUND(D34/12,2)</f>
        <v>279.71</v>
      </c>
      <c r="D34" s="56" t="n">
        <v>3356.47</v>
      </c>
      <c r="E34" s="54" t="n">
        <f aca="false">F34/12</f>
        <v>183.5</v>
      </c>
      <c r="F34" s="52" t="n">
        <f aca="false">$F$9*$F$6</f>
        <v>2202</v>
      </c>
    </row>
    <row r="35" customFormat="false" ht="12.75" hidden="false" customHeight="false" outlineLevel="0" collapsed="false">
      <c r="A35" s="41" t="s">
        <v>64</v>
      </c>
      <c r="B35" s="55" t="n">
        <v>10</v>
      </c>
      <c r="C35" s="57" t="n">
        <f aca="false">ROUND(D35/12,2)</f>
        <v>279.71</v>
      </c>
      <c r="D35" s="56" t="n">
        <v>3356.47</v>
      </c>
      <c r="E35" s="54" t="n">
        <f aca="false">F35/12</f>
        <v>183.5</v>
      </c>
      <c r="F35" s="52" t="n">
        <f aca="false">$F$9*$F$6</f>
        <v>2202</v>
      </c>
    </row>
    <row r="36" customFormat="false" ht="12.75" hidden="false" customHeight="false" outlineLevel="0" collapsed="false">
      <c r="A36" s="41" t="s">
        <v>65</v>
      </c>
      <c r="B36" s="55" t="n">
        <v>11</v>
      </c>
      <c r="C36" s="57" t="n">
        <f aca="false">ROUND(D36/12,2)</f>
        <v>279.71</v>
      </c>
      <c r="D36" s="56" t="n">
        <v>3356.47</v>
      </c>
      <c r="E36" s="54" t="n">
        <f aca="false">F36/12</f>
        <v>183.5</v>
      </c>
      <c r="F36" s="52" t="n">
        <f aca="false">$F$9*$F$6</f>
        <v>2202</v>
      </c>
    </row>
    <row r="37" customFormat="false" ht="12.75" hidden="false" customHeight="false" outlineLevel="0" collapsed="false">
      <c r="A37" s="41" t="s">
        <v>66</v>
      </c>
      <c r="B37" s="55" t="n">
        <v>12</v>
      </c>
      <c r="C37" s="57" t="n">
        <f aca="false">ROUND(D37/12,2)</f>
        <v>279.71</v>
      </c>
      <c r="D37" s="56" t="n">
        <v>3356.47</v>
      </c>
      <c r="E37" s="54" t="n">
        <f aca="false">F37/12</f>
        <v>183.5</v>
      </c>
      <c r="F37" s="52" t="n">
        <f aca="false">$F$9*$F$6</f>
        <v>2202</v>
      </c>
    </row>
    <row r="38" customFormat="false" ht="12.75" hidden="false" customHeight="false" outlineLevel="0" collapsed="false">
      <c r="A38" s="41" t="s">
        <v>67</v>
      </c>
      <c r="B38" s="55" t="n">
        <v>13</v>
      </c>
      <c r="C38" s="57" t="n">
        <f aca="false">ROUND(D38/12,2)</f>
        <v>279.71</v>
      </c>
      <c r="D38" s="56" t="n">
        <v>3356.47</v>
      </c>
      <c r="E38" s="54" t="n">
        <f aca="false">F38/12</f>
        <v>183.5</v>
      </c>
      <c r="F38" s="52" t="n">
        <f aca="false">$F$9*$F$6</f>
        <v>2202</v>
      </c>
    </row>
    <row r="39" customFormat="false" ht="12.75" hidden="false" customHeight="false" outlineLevel="0" collapsed="false">
      <c r="B39" s="47"/>
      <c r="C39" s="38" t="s">
        <v>35</v>
      </c>
      <c r="D39" s="38"/>
      <c r="E39" s="47" t="s">
        <v>36</v>
      </c>
      <c r="F39" s="46" t="n">
        <v>40</v>
      </c>
    </row>
    <row r="40" customFormat="false" ht="12.75" hidden="false" customHeight="false" outlineLevel="0" collapsed="false">
      <c r="A40" s="41" t="s">
        <v>37</v>
      </c>
      <c r="B40" s="47" t="s">
        <v>38</v>
      </c>
      <c r="C40" s="0" t="s">
        <v>39</v>
      </c>
      <c r="D40" s="0" t="s">
        <v>40</v>
      </c>
      <c r="E40" s="0" t="s">
        <v>39</v>
      </c>
      <c r="F40" s="0" t="s">
        <v>40</v>
      </c>
    </row>
    <row r="41" customFormat="false" ht="12.75" hidden="false" customHeight="false" outlineLevel="0" collapsed="false">
      <c r="A41" s="41" t="s">
        <v>68</v>
      </c>
      <c r="B41" s="55" t="n">
        <v>1</v>
      </c>
      <c r="C41" s="56" t="n">
        <f aca="false">ROUND(D41/12,2)</f>
        <v>299.35</v>
      </c>
      <c r="D41" s="56" t="n">
        <v>3592.25</v>
      </c>
      <c r="E41" s="51" t="n">
        <f aca="false">F41/12</f>
        <v>183.5</v>
      </c>
      <c r="F41" s="52" t="n">
        <f aca="false">$F$9*$F$6</f>
        <v>2202</v>
      </c>
    </row>
    <row r="42" customFormat="false" ht="12.75" hidden="false" customHeight="false" outlineLevel="0" collapsed="false">
      <c r="A42" s="41" t="s">
        <v>69</v>
      </c>
      <c r="B42" s="55" t="n">
        <v>2</v>
      </c>
      <c r="C42" s="56" t="n">
        <f aca="false">ROUND(D42/12,2)</f>
        <v>299.35</v>
      </c>
      <c r="D42" s="56" t="n">
        <v>3592.25</v>
      </c>
      <c r="E42" s="54" t="n">
        <f aca="false">F42/12</f>
        <v>183.5</v>
      </c>
      <c r="F42" s="52" t="n">
        <f aca="false">$F$9*$F$6</f>
        <v>2202</v>
      </c>
    </row>
    <row r="43" customFormat="false" ht="12.75" hidden="false" customHeight="false" outlineLevel="0" collapsed="false">
      <c r="A43" s="41" t="s">
        <v>70</v>
      </c>
      <c r="B43" s="55" t="n">
        <v>3</v>
      </c>
      <c r="C43" s="56" t="n">
        <f aca="false">ROUND(D43/12,2)</f>
        <v>299.35</v>
      </c>
      <c r="D43" s="56" t="n">
        <v>3592.25</v>
      </c>
      <c r="E43" s="54" t="n">
        <f aca="false">F43/12</f>
        <v>183.5</v>
      </c>
      <c r="F43" s="52" t="n">
        <f aca="false">$F$9*$F$6</f>
        <v>2202</v>
      </c>
    </row>
    <row r="44" customFormat="false" ht="12.75" hidden="false" customHeight="false" outlineLevel="0" collapsed="false">
      <c r="A44" s="41" t="s">
        <v>71</v>
      </c>
      <c r="B44" s="55" t="n">
        <v>4</v>
      </c>
      <c r="C44" s="56" t="n">
        <f aca="false">ROUND(D44/12,2)</f>
        <v>299.35</v>
      </c>
      <c r="D44" s="56" t="n">
        <v>3592.25</v>
      </c>
      <c r="E44" s="54" t="n">
        <f aca="false">F44/12</f>
        <v>183.5</v>
      </c>
      <c r="F44" s="52" t="n">
        <f aca="false">$F$9*$F$6</f>
        <v>2202</v>
      </c>
    </row>
    <row r="45" customFormat="false" ht="12.75" hidden="false" customHeight="false" outlineLevel="0" collapsed="false">
      <c r="A45" s="41" t="s">
        <v>72</v>
      </c>
      <c r="B45" s="55" t="n">
        <v>5</v>
      </c>
      <c r="C45" s="56" t="n">
        <f aca="false">ROUND(D45/12,2)</f>
        <v>299.35</v>
      </c>
      <c r="D45" s="56" t="n">
        <v>3592.25</v>
      </c>
      <c r="E45" s="54" t="n">
        <f aca="false">F45/12</f>
        <v>183.5</v>
      </c>
      <c r="F45" s="52" t="n">
        <f aca="false">$F$9*$F$6</f>
        <v>2202</v>
      </c>
    </row>
    <row r="46" customFormat="false" ht="12.75" hidden="false" customHeight="false" outlineLevel="0" collapsed="false">
      <c r="A46" s="41" t="s">
        <v>73</v>
      </c>
      <c r="B46" s="55" t="n">
        <v>6</v>
      </c>
      <c r="C46" s="56" t="n">
        <f aca="false">ROUND(D46/12,2)</f>
        <v>299.35</v>
      </c>
      <c r="D46" s="56" t="n">
        <v>3592.25</v>
      </c>
      <c r="E46" s="54" t="n">
        <f aca="false">F46/12</f>
        <v>183.5</v>
      </c>
      <c r="F46" s="52" t="n">
        <f aca="false">$F$9*$F$6</f>
        <v>2202</v>
      </c>
    </row>
    <row r="47" customFormat="false" ht="12.75" hidden="false" customHeight="false" outlineLevel="0" collapsed="false">
      <c r="A47" s="41" t="s">
        <v>74</v>
      </c>
      <c r="B47" s="55" t="n">
        <v>7</v>
      </c>
      <c r="C47" s="56" t="n">
        <f aca="false">ROUND(D47/12,2)</f>
        <v>299.35</v>
      </c>
      <c r="D47" s="56" t="n">
        <v>3592.25</v>
      </c>
      <c r="E47" s="54" t="n">
        <f aca="false">F47/12</f>
        <v>183.5</v>
      </c>
      <c r="F47" s="52" t="n">
        <f aca="false">$F$9*$F$6</f>
        <v>2202</v>
      </c>
    </row>
    <row r="48" customFormat="false" ht="12.75" hidden="false" customHeight="false" outlineLevel="0" collapsed="false">
      <c r="A48" s="41" t="s">
        <v>75</v>
      </c>
      <c r="B48" s="55" t="n">
        <v>8</v>
      </c>
      <c r="C48" s="56" t="n">
        <f aca="false">ROUND(D48/12,2)</f>
        <v>299.35</v>
      </c>
      <c r="D48" s="56" t="n">
        <v>3592.25</v>
      </c>
      <c r="E48" s="54" t="n">
        <f aca="false">F48/12</f>
        <v>183.5</v>
      </c>
      <c r="F48" s="52" t="n">
        <f aca="false">$F$9*$F$6</f>
        <v>2202</v>
      </c>
    </row>
    <row r="49" customFormat="false" ht="12.75" hidden="false" customHeight="false" outlineLevel="0" collapsed="false">
      <c r="A49" s="41" t="s">
        <v>76</v>
      </c>
      <c r="B49" s="55" t="n">
        <v>9</v>
      </c>
      <c r="C49" s="56" t="n">
        <f aca="false">ROUND(D49/12,2)</f>
        <v>299.35</v>
      </c>
      <c r="D49" s="56" t="n">
        <v>3592.25</v>
      </c>
      <c r="E49" s="54" t="n">
        <f aca="false">F49/12</f>
        <v>183.5</v>
      </c>
      <c r="F49" s="52" t="n">
        <f aca="false">$F$9*$F$6</f>
        <v>2202</v>
      </c>
    </row>
    <row r="50" customFormat="false" ht="12.75" hidden="false" customHeight="false" outlineLevel="0" collapsed="false">
      <c r="A50" s="41" t="s">
        <v>77</v>
      </c>
      <c r="B50" s="55" t="n">
        <v>10</v>
      </c>
      <c r="C50" s="57" t="n">
        <f aca="false">ROUND(D50/12,2)</f>
        <v>299.35</v>
      </c>
      <c r="D50" s="56" t="n">
        <v>3592.25</v>
      </c>
      <c r="E50" s="54" t="n">
        <f aca="false">F50/12</f>
        <v>183.5</v>
      </c>
      <c r="F50" s="52" t="n">
        <f aca="false">$F$9*$F$6</f>
        <v>2202</v>
      </c>
    </row>
    <row r="51" customFormat="false" ht="12.75" hidden="false" customHeight="false" outlineLevel="0" collapsed="false">
      <c r="A51" s="41" t="s">
        <v>78</v>
      </c>
      <c r="B51" s="55" t="n">
        <v>11</v>
      </c>
      <c r="C51" s="57" t="n">
        <f aca="false">ROUND(D51/12,2)</f>
        <v>299.35</v>
      </c>
      <c r="D51" s="56" t="n">
        <v>3592.25</v>
      </c>
      <c r="E51" s="54" t="n">
        <f aca="false">F51/12</f>
        <v>183.5</v>
      </c>
      <c r="F51" s="52" t="n">
        <f aca="false">$F$9*$F$6</f>
        <v>2202</v>
      </c>
    </row>
    <row r="52" customFormat="false" ht="12.75" hidden="false" customHeight="false" outlineLevel="0" collapsed="false">
      <c r="A52" s="41" t="s">
        <v>79</v>
      </c>
      <c r="B52" s="55" t="n">
        <v>12</v>
      </c>
      <c r="C52" s="57" t="n">
        <f aca="false">ROUND(D52/12,2)</f>
        <v>299.35</v>
      </c>
      <c r="D52" s="56" t="n">
        <v>3592.25</v>
      </c>
      <c r="E52" s="54" t="n">
        <f aca="false">F52/12</f>
        <v>183.5</v>
      </c>
      <c r="F52" s="52" t="n">
        <f aca="false">$F$9*$F$6</f>
        <v>2202</v>
      </c>
    </row>
    <row r="53" customFormat="false" ht="12.75" hidden="false" customHeight="false" outlineLevel="0" collapsed="false">
      <c r="A53" s="41" t="s">
        <v>80</v>
      </c>
      <c r="B53" s="55" t="n">
        <v>13</v>
      </c>
      <c r="C53" s="57" t="n">
        <f aca="false">ROUND(D53/12,2)</f>
        <v>299.35</v>
      </c>
      <c r="D53" s="56" t="n">
        <v>3592.25</v>
      </c>
      <c r="E53" s="54" t="n">
        <f aca="false">F53/12</f>
        <v>183.5</v>
      </c>
      <c r="F53" s="52" t="n">
        <f aca="false">$F$9*$F$6</f>
        <v>2202</v>
      </c>
    </row>
    <row r="54" customFormat="false" ht="12.75" hidden="false" customHeight="false" outlineLevel="0" collapsed="false">
      <c r="B54" s="47"/>
      <c r="C54" s="38" t="s">
        <v>54</v>
      </c>
      <c r="D54" s="38"/>
      <c r="E54" s="47" t="s">
        <v>36</v>
      </c>
      <c r="F54" s="46" t="n">
        <v>40</v>
      </c>
    </row>
    <row r="55" customFormat="false" ht="12.75" hidden="false" customHeight="false" outlineLevel="0" collapsed="false">
      <c r="A55" s="41" t="s">
        <v>37</v>
      </c>
      <c r="B55" s="47" t="s">
        <v>38</v>
      </c>
      <c r="C55" s="0" t="s">
        <v>39</v>
      </c>
      <c r="D55" s="0" t="s">
        <v>40</v>
      </c>
      <c r="E55" s="0" t="s">
        <v>39</v>
      </c>
      <c r="F55" s="0" t="s">
        <v>40</v>
      </c>
    </row>
    <row r="56" customFormat="false" ht="12.75" hidden="false" customHeight="false" outlineLevel="0" collapsed="false">
      <c r="A56" s="41" t="s">
        <v>81</v>
      </c>
      <c r="B56" s="55" t="n">
        <v>1</v>
      </c>
      <c r="C56" s="56" t="n">
        <f aca="false">ROUND(D56/12,2)</f>
        <v>279.71</v>
      </c>
      <c r="D56" s="56" t="n">
        <v>3356.47</v>
      </c>
      <c r="E56" s="51" t="n">
        <f aca="false">F56/12</f>
        <v>183.5</v>
      </c>
      <c r="F56" s="52" t="n">
        <f aca="false">$F$9*$F$6</f>
        <v>2202</v>
      </c>
    </row>
    <row r="57" customFormat="false" ht="12.75" hidden="false" customHeight="false" outlineLevel="0" collapsed="false">
      <c r="A57" s="41" t="s">
        <v>82</v>
      </c>
      <c r="B57" s="55" t="n">
        <v>2</v>
      </c>
      <c r="C57" s="56" t="n">
        <f aca="false">ROUND(D57/12,2)</f>
        <v>279.71</v>
      </c>
      <c r="D57" s="56" t="n">
        <v>3356.47</v>
      </c>
      <c r="E57" s="54" t="n">
        <f aca="false">F57/12</f>
        <v>183.5</v>
      </c>
      <c r="F57" s="52" t="n">
        <f aca="false">$F$9*$F$6</f>
        <v>2202</v>
      </c>
    </row>
    <row r="58" customFormat="false" ht="12.75" hidden="false" customHeight="false" outlineLevel="0" collapsed="false">
      <c r="A58" s="41" t="s">
        <v>83</v>
      </c>
      <c r="B58" s="55" t="n">
        <v>3</v>
      </c>
      <c r="C58" s="56" t="n">
        <f aca="false">ROUND(D58/12,2)</f>
        <v>279.71</v>
      </c>
      <c r="D58" s="56" t="n">
        <v>3356.47</v>
      </c>
      <c r="E58" s="54" t="n">
        <f aca="false">F58/12</f>
        <v>183.5</v>
      </c>
      <c r="F58" s="52" t="n">
        <f aca="false">$F$9*$F$6</f>
        <v>2202</v>
      </c>
    </row>
    <row r="59" customFormat="false" ht="12.75" hidden="false" customHeight="false" outlineLevel="0" collapsed="false">
      <c r="A59" s="41" t="s">
        <v>84</v>
      </c>
      <c r="B59" s="55" t="n">
        <v>4</v>
      </c>
      <c r="C59" s="56" t="n">
        <f aca="false">ROUND(D59/12,2)</f>
        <v>279.71</v>
      </c>
      <c r="D59" s="56" t="n">
        <v>3356.47</v>
      </c>
      <c r="E59" s="54" t="n">
        <f aca="false">F59/12</f>
        <v>183.5</v>
      </c>
      <c r="F59" s="52" t="n">
        <f aca="false">$F$9*$F$6</f>
        <v>2202</v>
      </c>
    </row>
    <row r="60" customFormat="false" ht="12.75" hidden="false" customHeight="false" outlineLevel="0" collapsed="false">
      <c r="A60" s="41" t="s">
        <v>85</v>
      </c>
      <c r="B60" s="55" t="n">
        <v>5</v>
      </c>
      <c r="C60" s="56" t="n">
        <f aca="false">ROUND(D60/12,2)</f>
        <v>279.71</v>
      </c>
      <c r="D60" s="56" t="n">
        <v>3356.47</v>
      </c>
      <c r="E60" s="54" t="n">
        <f aca="false">F60/12</f>
        <v>183.5</v>
      </c>
      <c r="F60" s="52" t="n">
        <f aca="false">$F$9*$F$6</f>
        <v>2202</v>
      </c>
    </row>
    <row r="61" customFormat="false" ht="12.75" hidden="false" customHeight="false" outlineLevel="0" collapsed="false">
      <c r="A61" s="41" t="s">
        <v>86</v>
      </c>
      <c r="B61" s="55" t="n">
        <v>6</v>
      </c>
      <c r="C61" s="56" t="n">
        <f aca="false">ROUND(D61/12,2)</f>
        <v>279.71</v>
      </c>
      <c r="D61" s="56" t="n">
        <v>3356.47</v>
      </c>
      <c r="E61" s="54" t="n">
        <f aca="false">F61/12</f>
        <v>183.5</v>
      </c>
      <c r="F61" s="52" t="n">
        <f aca="false">$F$9*$F$6</f>
        <v>2202</v>
      </c>
    </row>
    <row r="62" customFormat="false" ht="12.75" hidden="false" customHeight="false" outlineLevel="0" collapsed="false">
      <c r="A62" s="41" t="s">
        <v>87</v>
      </c>
      <c r="B62" s="55" t="n">
        <v>7</v>
      </c>
      <c r="C62" s="56" t="n">
        <f aca="false">ROUND(D62/12,2)</f>
        <v>279.71</v>
      </c>
      <c r="D62" s="56" t="n">
        <v>3356.47</v>
      </c>
      <c r="E62" s="54" t="n">
        <f aca="false">F62/12</f>
        <v>183.5</v>
      </c>
      <c r="F62" s="52" t="n">
        <f aca="false">$F$9*$F$6</f>
        <v>2202</v>
      </c>
    </row>
    <row r="63" customFormat="false" ht="12.75" hidden="false" customHeight="false" outlineLevel="0" collapsed="false">
      <c r="A63" s="41" t="s">
        <v>88</v>
      </c>
      <c r="B63" s="55" t="n">
        <v>8</v>
      </c>
      <c r="C63" s="56" t="n">
        <f aca="false">ROUND(D63/12,2)</f>
        <v>279.71</v>
      </c>
      <c r="D63" s="56" t="n">
        <v>3356.47</v>
      </c>
      <c r="E63" s="54" t="n">
        <f aca="false">F63/12</f>
        <v>183.5</v>
      </c>
      <c r="F63" s="52" t="n">
        <f aca="false">$F$9*$F$6</f>
        <v>2202</v>
      </c>
    </row>
    <row r="64" customFormat="false" ht="12.75" hidden="false" customHeight="false" outlineLevel="0" collapsed="false">
      <c r="A64" s="41" t="s">
        <v>89</v>
      </c>
      <c r="B64" s="55" t="n">
        <v>9</v>
      </c>
      <c r="C64" s="56" t="n">
        <f aca="false">ROUND(D64/12,2)</f>
        <v>279.71</v>
      </c>
      <c r="D64" s="56" t="n">
        <v>3356.47</v>
      </c>
      <c r="E64" s="54" t="n">
        <f aca="false">F64/12</f>
        <v>183.5</v>
      </c>
      <c r="F64" s="52" t="n">
        <f aca="false">$F$9*$F$6</f>
        <v>2202</v>
      </c>
    </row>
    <row r="65" customFormat="false" ht="12.75" hidden="false" customHeight="false" outlineLevel="0" collapsed="false">
      <c r="A65" s="41" t="s">
        <v>90</v>
      </c>
      <c r="B65" s="55" t="n">
        <v>10</v>
      </c>
      <c r="C65" s="57" t="n">
        <f aca="false">ROUND(D65/12,2)</f>
        <v>279.71</v>
      </c>
      <c r="D65" s="56" t="n">
        <v>3356.47</v>
      </c>
      <c r="E65" s="54" t="n">
        <f aca="false">F65/12</f>
        <v>183.5</v>
      </c>
      <c r="F65" s="52" t="n">
        <f aca="false">$F$9*$F$6</f>
        <v>2202</v>
      </c>
    </row>
    <row r="66" customFormat="false" ht="12.75" hidden="false" customHeight="false" outlineLevel="0" collapsed="false">
      <c r="A66" s="41" t="s">
        <v>91</v>
      </c>
      <c r="B66" s="55" t="n">
        <v>11</v>
      </c>
      <c r="C66" s="57" t="n">
        <f aca="false">ROUND(D66/12,2)</f>
        <v>279.71</v>
      </c>
      <c r="D66" s="56" t="n">
        <v>3356.47</v>
      </c>
      <c r="E66" s="54" t="n">
        <f aca="false">F66/12</f>
        <v>183.5</v>
      </c>
      <c r="F66" s="52" t="n">
        <f aca="false">$F$9*$F$6</f>
        <v>2202</v>
      </c>
    </row>
    <row r="67" customFormat="false" ht="12.75" hidden="false" customHeight="false" outlineLevel="0" collapsed="false">
      <c r="A67" s="41" t="s">
        <v>92</v>
      </c>
      <c r="B67" s="55" t="n">
        <v>12</v>
      </c>
      <c r="C67" s="57" t="n">
        <f aca="false">ROUND(D67/12,2)</f>
        <v>279.71</v>
      </c>
      <c r="D67" s="56" t="n">
        <v>3356.47</v>
      </c>
      <c r="E67" s="54" t="n">
        <f aca="false">F67/12</f>
        <v>183.5</v>
      </c>
      <c r="F67" s="52" t="n">
        <f aca="false">$F$9*$F$6</f>
        <v>2202</v>
      </c>
    </row>
    <row r="68" customFormat="false" ht="12.75" hidden="false" customHeight="false" outlineLevel="0" collapsed="false">
      <c r="A68" s="41" t="s">
        <v>93</v>
      </c>
      <c r="B68" s="55" t="n">
        <v>13</v>
      </c>
      <c r="C68" s="57" t="n">
        <f aca="false">ROUND(D68/12,2)</f>
        <v>279.71</v>
      </c>
      <c r="D68" s="56" t="n">
        <v>3356.47</v>
      </c>
      <c r="E68" s="54" t="n">
        <f aca="false">F68/12</f>
        <v>183.5</v>
      </c>
      <c r="F68" s="52" t="n">
        <f aca="false">$F$9*$F$6</f>
        <v>2202</v>
      </c>
    </row>
    <row r="69" customFormat="false" ht="12.75" hidden="false" customHeight="false" outlineLevel="0" collapsed="false">
      <c r="B69" s="47"/>
      <c r="C69" s="38" t="s">
        <v>35</v>
      </c>
      <c r="D69" s="38"/>
      <c r="E69" s="47" t="s">
        <v>36</v>
      </c>
      <c r="F69" s="46" t="n">
        <v>40</v>
      </c>
    </row>
    <row r="70" customFormat="false" ht="12.75" hidden="false" customHeight="false" outlineLevel="0" collapsed="false">
      <c r="A70" s="41" t="s">
        <v>37</v>
      </c>
      <c r="B70" s="47" t="s">
        <v>38</v>
      </c>
      <c r="C70" s="0" t="s">
        <v>39</v>
      </c>
      <c r="D70" s="0" t="s">
        <v>40</v>
      </c>
      <c r="E70" s="0" t="s">
        <v>39</v>
      </c>
      <c r="F70" s="0" t="s">
        <v>40</v>
      </c>
    </row>
    <row r="71" customFormat="false" ht="12.75" hidden="false" customHeight="false" outlineLevel="0" collapsed="false">
      <c r="A71" s="41" t="s">
        <v>94</v>
      </c>
      <c r="B71" s="55" t="n">
        <v>1</v>
      </c>
      <c r="C71" s="56" t="n">
        <f aca="false">ROUND(D71/12,2)</f>
        <v>338.71</v>
      </c>
      <c r="D71" s="56" t="n">
        <v>4064.54</v>
      </c>
      <c r="E71" s="51" t="n">
        <f aca="false">F71/12</f>
        <v>183.5</v>
      </c>
      <c r="F71" s="52" t="n">
        <f aca="false">$F$9*$F$6</f>
        <v>2202</v>
      </c>
    </row>
    <row r="72" customFormat="false" ht="12.75" hidden="false" customHeight="false" outlineLevel="0" collapsed="false">
      <c r="A72" s="41" t="s">
        <v>95</v>
      </c>
      <c r="B72" s="55" t="n">
        <v>2</v>
      </c>
      <c r="C72" s="56" t="n">
        <f aca="false">ROUND(D72/12,2)</f>
        <v>338.71</v>
      </c>
      <c r="D72" s="56" t="n">
        <v>4064.54</v>
      </c>
      <c r="E72" s="54" t="n">
        <f aca="false">F72/12</f>
        <v>183.5</v>
      </c>
      <c r="F72" s="52" t="n">
        <f aca="false">$F$9*$F$6</f>
        <v>2202</v>
      </c>
    </row>
    <row r="73" customFormat="false" ht="12.75" hidden="false" customHeight="false" outlineLevel="0" collapsed="false">
      <c r="A73" s="41" t="s">
        <v>96</v>
      </c>
      <c r="B73" s="55" t="n">
        <v>3</v>
      </c>
      <c r="C73" s="56" t="n">
        <f aca="false">ROUND(D73/12,2)</f>
        <v>338.71</v>
      </c>
      <c r="D73" s="56" t="n">
        <v>4064.54</v>
      </c>
      <c r="E73" s="54" t="n">
        <f aca="false">F73/12</f>
        <v>183.5</v>
      </c>
      <c r="F73" s="52" t="n">
        <f aca="false">$F$9*$F$6</f>
        <v>2202</v>
      </c>
    </row>
    <row r="74" customFormat="false" ht="12.75" hidden="false" customHeight="false" outlineLevel="0" collapsed="false">
      <c r="A74" s="41" t="s">
        <v>97</v>
      </c>
      <c r="B74" s="55" t="n">
        <v>4</v>
      </c>
      <c r="C74" s="56" t="n">
        <f aca="false">ROUND(D74/12,2)</f>
        <v>338.71</v>
      </c>
      <c r="D74" s="56" t="n">
        <v>4064.54</v>
      </c>
      <c r="E74" s="54" t="n">
        <f aca="false">F74/12</f>
        <v>183.5</v>
      </c>
      <c r="F74" s="52" t="n">
        <f aca="false">$F$9*$F$6</f>
        <v>2202</v>
      </c>
    </row>
    <row r="75" customFormat="false" ht="12.75" hidden="false" customHeight="false" outlineLevel="0" collapsed="false">
      <c r="A75" s="41" t="s">
        <v>98</v>
      </c>
      <c r="B75" s="55" t="n">
        <v>5</v>
      </c>
      <c r="C75" s="56" t="n">
        <f aca="false">ROUND(D75/12,2)</f>
        <v>338.71</v>
      </c>
      <c r="D75" s="56" t="n">
        <v>4064.54</v>
      </c>
      <c r="E75" s="54" t="n">
        <f aca="false">F75/12</f>
        <v>183.5</v>
      </c>
      <c r="F75" s="52" t="n">
        <f aca="false">$F$9*$F$6</f>
        <v>2202</v>
      </c>
    </row>
    <row r="76" customFormat="false" ht="12.75" hidden="false" customHeight="false" outlineLevel="0" collapsed="false">
      <c r="A76" s="41" t="s">
        <v>99</v>
      </c>
      <c r="B76" s="55" t="n">
        <v>6</v>
      </c>
      <c r="C76" s="56" t="n">
        <f aca="false">ROUND(D76/12,2)</f>
        <v>338.71</v>
      </c>
      <c r="D76" s="56" t="n">
        <v>4064.54</v>
      </c>
      <c r="E76" s="54" t="n">
        <f aca="false">F76/12</f>
        <v>183.5</v>
      </c>
      <c r="F76" s="52" t="n">
        <f aca="false">$F$9*$F$6</f>
        <v>2202</v>
      </c>
    </row>
    <row r="77" customFormat="false" ht="12.75" hidden="false" customHeight="false" outlineLevel="0" collapsed="false">
      <c r="A77" s="41" t="s">
        <v>100</v>
      </c>
      <c r="B77" s="55" t="n">
        <v>7</v>
      </c>
      <c r="C77" s="56" t="n">
        <f aca="false">ROUND(D77/12,2)</f>
        <v>338.71</v>
      </c>
      <c r="D77" s="56" t="n">
        <v>4064.54</v>
      </c>
      <c r="E77" s="54" t="n">
        <f aca="false">F77/12</f>
        <v>183.5</v>
      </c>
      <c r="F77" s="52" t="n">
        <f aca="false">$F$9*$F$6</f>
        <v>2202</v>
      </c>
    </row>
    <row r="78" customFormat="false" ht="12.75" hidden="false" customHeight="false" outlineLevel="0" collapsed="false">
      <c r="A78" s="41" t="s">
        <v>101</v>
      </c>
      <c r="B78" s="55" t="n">
        <v>8</v>
      </c>
      <c r="C78" s="56" t="n">
        <f aca="false">ROUND(D78/12,2)</f>
        <v>338.71</v>
      </c>
      <c r="D78" s="56" t="n">
        <v>4064.54</v>
      </c>
      <c r="E78" s="54" t="n">
        <f aca="false">F78/12</f>
        <v>183.5</v>
      </c>
      <c r="F78" s="52" t="n">
        <f aca="false">$F$9*$F$6</f>
        <v>2202</v>
      </c>
    </row>
    <row r="79" customFormat="false" ht="12.75" hidden="false" customHeight="false" outlineLevel="0" collapsed="false">
      <c r="A79" s="41" t="s">
        <v>102</v>
      </c>
      <c r="B79" s="55" t="n">
        <v>9</v>
      </c>
      <c r="C79" s="56" t="n">
        <f aca="false">ROUND(D79/12,2)</f>
        <v>338.71</v>
      </c>
      <c r="D79" s="56" t="n">
        <v>4064.54</v>
      </c>
      <c r="E79" s="54" t="n">
        <f aca="false">F79/12</f>
        <v>183.5</v>
      </c>
      <c r="F79" s="52" t="n">
        <f aca="false">$F$9*$F$6</f>
        <v>2202</v>
      </c>
    </row>
    <row r="80" customFormat="false" ht="12.75" hidden="false" customHeight="false" outlineLevel="0" collapsed="false">
      <c r="A80" s="41" t="s">
        <v>103</v>
      </c>
      <c r="B80" s="55" t="n">
        <v>10</v>
      </c>
      <c r="C80" s="57" t="n">
        <f aca="false">ROUND(D80/12,2)</f>
        <v>338.71</v>
      </c>
      <c r="D80" s="56" t="n">
        <v>4064.54</v>
      </c>
      <c r="E80" s="54" t="n">
        <f aca="false">F80/12</f>
        <v>183.5</v>
      </c>
      <c r="F80" s="52" t="n">
        <f aca="false">$F$9*$F$6</f>
        <v>2202</v>
      </c>
    </row>
    <row r="81" customFormat="false" ht="13.5" hidden="false" customHeight="true" outlineLevel="0" collapsed="false">
      <c r="A81" s="41" t="s">
        <v>104</v>
      </c>
      <c r="B81" s="55" t="n">
        <v>11</v>
      </c>
      <c r="C81" s="57" t="n">
        <f aca="false">ROUND(D81/12,2)</f>
        <v>338.71</v>
      </c>
      <c r="D81" s="56" t="n">
        <v>4064.54</v>
      </c>
      <c r="E81" s="54" t="n">
        <f aca="false">F81/12</f>
        <v>183.5</v>
      </c>
      <c r="F81" s="52" t="n">
        <f aca="false">$F$9*$F$6</f>
        <v>2202</v>
      </c>
    </row>
    <row r="82" customFormat="false" ht="12.75" hidden="false" customHeight="false" outlineLevel="0" collapsed="false">
      <c r="B82" s="47"/>
      <c r="C82" s="38" t="s">
        <v>54</v>
      </c>
      <c r="D82" s="38"/>
      <c r="E82" s="47" t="s">
        <v>36</v>
      </c>
      <c r="F82" s="46" t="n">
        <v>40</v>
      </c>
    </row>
    <row r="83" customFormat="false" ht="12.75" hidden="false" customHeight="false" outlineLevel="0" collapsed="false">
      <c r="A83" s="41" t="s">
        <v>37</v>
      </c>
      <c r="B83" s="47" t="s">
        <v>38</v>
      </c>
      <c r="C83" s="0" t="s">
        <v>39</v>
      </c>
      <c r="D83" s="0" t="s">
        <v>40</v>
      </c>
      <c r="E83" s="0" t="s">
        <v>39</v>
      </c>
      <c r="F83" s="0" t="s">
        <v>40</v>
      </c>
    </row>
    <row r="84" customFormat="false" ht="12.75" hidden="false" customHeight="false" outlineLevel="0" collapsed="false">
      <c r="A84" s="41" t="s">
        <v>105</v>
      </c>
      <c r="B84" s="55" t="n">
        <v>1</v>
      </c>
      <c r="C84" s="56" t="n">
        <f aca="false">ROUND(D84/12,2)</f>
        <v>319.06</v>
      </c>
      <c r="D84" s="56" t="n">
        <v>3828.76</v>
      </c>
      <c r="E84" s="51" t="n">
        <f aca="false">F84/12</f>
        <v>183.5</v>
      </c>
      <c r="F84" s="52" t="n">
        <f aca="false">$F$9*$F$6</f>
        <v>2202</v>
      </c>
    </row>
    <row r="85" customFormat="false" ht="12.75" hidden="false" customHeight="false" outlineLevel="0" collapsed="false">
      <c r="A85" s="41" t="s">
        <v>106</v>
      </c>
      <c r="B85" s="55" t="n">
        <v>2</v>
      </c>
      <c r="C85" s="56" t="n">
        <f aca="false">ROUND(D85/12,2)</f>
        <v>319.06</v>
      </c>
      <c r="D85" s="56" t="n">
        <v>3828.76</v>
      </c>
      <c r="E85" s="54" t="n">
        <f aca="false">F85/12</f>
        <v>183.5</v>
      </c>
      <c r="F85" s="52" t="n">
        <f aca="false">$F$9*$F$6</f>
        <v>2202</v>
      </c>
    </row>
    <row r="86" customFormat="false" ht="12.75" hidden="false" customHeight="false" outlineLevel="0" collapsed="false">
      <c r="A86" s="41" t="s">
        <v>107</v>
      </c>
      <c r="B86" s="55" t="n">
        <v>3</v>
      </c>
      <c r="C86" s="56" t="n">
        <f aca="false">ROUND(D86/12,2)</f>
        <v>319.06</v>
      </c>
      <c r="D86" s="56" t="n">
        <v>3828.76</v>
      </c>
      <c r="E86" s="54" t="n">
        <f aca="false">F86/12</f>
        <v>183.5</v>
      </c>
      <c r="F86" s="52" t="n">
        <f aca="false">$F$9*$F$6</f>
        <v>2202</v>
      </c>
    </row>
    <row r="87" customFormat="false" ht="12.75" hidden="false" customHeight="false" outlineLevel="0" collapsed="false">
      <c r="A87" s="41" t="s">
        <v>108</v>
      </c>
      <c r="B87" s="55" t="n">
        <v>4</v>
      </c>
      <c r="C87" s="56" t="n">
        <f aca="false">ROUND(D87/12,2)</f>
        <v>319.06</v>
      </c>
      <c r="D87" s="56" t="n">
        <v>3828.76</v>
      </c>
      <c r="E87" s="54" t="n">
        <f aca="false">F87/12</f>
        <v>183.5</v>
      </c>
      <c r="F87" s="52" t="n">
        <f aca="false">$F$9*$F$6</f>
        <v>2202</v>
      </c>
    </row>
    <row r="88" customFormat="false" ht="12.75" hidden="false" customHeight="false" outlineLevel="0" collapsed="false">
      <c r="A88" s="41" t="s">
        <v>109</v>
      </c>
      <c r="B88" s="55" t="n">
        <v>5</v>
      </c>
      <c r="C88" s="56" t="n">
        <f aca="false">ROUND(D88/12,2)</f>
        <v>319.06</v>
      </c>
      <c r="D88" s="56" t="n">
        <v>3828.76</v>
      </c>
      <c r="E88" s="54" t="n">
        <f aca="false">F88/12</f>
        <v>183.5</v>
      </c>
      <c r="F88" s="52" t="n">
        <f aca="false">$F$9*$F$6</f>
        <v>2202</v>
      </c>
    </row>
    <row r="89" customFormat="false" ht="12.75" hidden="false" customHeight="false" outlineLevel="0" collapsed="false">
      <c r="A89" s="41" t="s">
        <v>110</v>
      </c>
      <c r="B89" s="55" t="n">
        <v>6</v>
      </c>
      <c r="C89" s="56" t="n">
        <f aca="false">ROUND(D89/12,2)</f>
        <v>319.06</v>
      </c>
      <c r="D89" s="56" t="n">
        <v>3828.76</v>
      </c>
      <c r="E89" s="54" t="n">
        <f aca="false">F89/12</f>
        <v>183.5</v>
      </c>
      <c r="F89" s="52" t="n">
        <f aca="false">$F$9*$F$6</f>
        <v>2202</v>
      </c>
    </row>
    <row r="90" customFormat="false" ht="12.75" hidden="false" customHeight="false" outlineLevel="0" collapsed="false">
      <c r="A90" s="41" t="s">
        <v>111</v>
      </c>
      <c r="B90" s="55" t="n">
        <v>7</v>
      </c>
      <c r="C90" s="56" t="n">
        <f aca="false">ROUND(D90/12,2)</f>
        <v>319.06</v>
      </c>
      <c r="D90" s="56" t="n">
        <v>3828.76</v>
      </c>
      <c r="E90" s="54" t="n">
        <f aca="false">F90/12</f>
        <v>183.5</v>
      </c>
      <c r="F90" s="52" t="n">
        <f aca="false">$F$9*$F$6</f>
        <v>2202</v>
      </c>
    </row>
    <row r="91" customFormat="false" ht="12.75" hidden="false" customHeight="false" outlineLevel="0" collapsed="false">
      <c r="A91" s="41" t="s">
        <v>112</v>
      </c>
      <c r="B91" s="55" t="n">
        <v>8</v>
      </c>
      <c r="C91" s="56" t="n">
        <f aca="false">ROUND(D91/12,2)</f>
        <v>319.06</v>
      </c>
      <c r="D91" s="56" t="n">
        <v>3828.76</v>
      </c>
      <c r="E91" s="54" t="n">
        <f aca="false">F91/12</f>
        <v>183.5</v>
      </c>
      <c r="F91" s="52" t="n">
        <f aca="false">$F$9*$F$6</f>
        <v>2202</v>
      </c>
    </row>
    <row r="92" customFormat="false" ht="12.75" hidden="false" customHeight="false" outlineLevel="0" collapsed="false">
      <c r="A92" s="41" t="s">
        <v>113</v>
      </c>
      <c r="B92" s="55" t="n">
        <v>9</v>
      </c>
      <c r="C92" s="56" t="n">
        <f aca="false">ROUND(D92/12,2)</f>
        <v>319.06</v>
      </c>
      <c r="D92" s="56" t="n">
        <v>3828.76</v>
      </c>
      <c r="E92" s="54" t="n">
        <f aca="false">F92/12</f>
        <v>183.5</v>
      </c>
      <c r="F92" s="52" t="n">
        <f aca="false">$F$9*$F$6</f>
        <v>2202</v>
      </c>
    </row>
    <row r="93" customFormat="false" ht="12.75" hidden="false" customHeight="false" outlineLevel="0" collapsed="false">
      <c r="A93" s="41" t="s">
        <v>114</v>
      </c>
      <c r="B93" s="55" t="n">
        <v>10</v>
      </c>
      <c r="C93" s="57" t="n">
        <f aca="false">ROUND(D93/12,2)</f>
        <v>319.06</v>
      </c>
      <c r="D93" s="56" t="n">
        <v>3828.76</v>
      </c>
      <c r="E93" s="54" t="n">
        <f aca="false">F93/12</f>
        <v>183.5</v>
      </c>
      <c r="F93" s="52" t="n">
        <f aca="false">$F$9*$F$6</f>
        <v>2202</v>
      </c>
    </row>
    <row r="94" customFormat="false" ht="12.75" hidden="false" customHeight="false" outlineLevel="0" collapsed="false">
      <c r="A94" s="41" t="s">
        <v>115</v>
      </c>
      <c r="B94" s="55" t="n">
        <v>11</v>
      </c>
      <c r="C94" s="57" t="n">
        <f aca="false">ROUND(D94/12,2)</f>
        <v>319.06</v>
      </c>
      <c r="D94" s="56" t="n">
        <v>3828.76</v>
      </c>
      <c r="E94" s="54" t="n">
        <f aca="false">F94/12</f>
        <v>183.5</v>
      </c>
      <c r="F94" s="52" t="n">
        <f aca="false">$F$9*$F$6</f>
        <v>2202</v>
      </c>
    </row>
    <row r="96" customFormat="false" ht="12.75" hidden="false" customHeight="false" outlineLevel="0" collapsed="false">
      <c r="B96" s="48" t="s">
        <v>116</v>
      </c>
      <c r="C96" s="48"/>
    </row>
    <row r="97" customFormat="false" ht="12.75" hidden="false" customHeight="false" outlineLevel="0" collapsed="false">
      <c r="B97" s="58" t="s">
        <v>117</v>
      </c>
      <c r="C97" s="59" t="s">
        <v>39</v>
      </c>
    </row>
    <row r="98" customFormat="false" ht="12.75" hidden="false" customHeight="false" outlineLevel="0" collapsed="false">
      <c r="A98" s="60" t="s">
        <v>118</v>
      </c>
      <c r="B98" s="61" t="n">
        <v>0</v>
      </c>
      <c r="C98" s="62" t="n">
        <f aca="false">B98*$F$6/12</f>
        <v>0</v>
      </c>
    </row>
    <row r="99" customFormat="false" ht="12.75" hidden="false" customHeight="false" outlineLevel="0" collapsed="false">
      <c r="A99" s="60" t="s">
        <v>119</v>
      </c>
      <c r="B99" s="63"/>
      <c r="C99" s="62" t="n">
        <f aca="false">1824.07/12</f>
        <v>152.005833333333</v>
      </c>
    </row>
    <row r="100" customFormat="false" ht="12.75" hidden="false" customHeight="false" outlineLevel="0" collapsed="false">
      <c r="A100" s="60" t="s">
        <v>120</v>
      </c>
      <c r="B100" s="63" t="n">
        <v>0</v>
      </c>
      <c r="C100" s="62" t="n">
        <f aca="false">B100*$F$6/12</f>
        <v>0</v>
      </c>
    </row>
    <row r="101" customFormat="false" ht="12.75" hidden="false" customHeight="false" outlineLevel="0" collapsed="false">
      <c r="A101" s="60" t="s">
        <v>121</v>
      </c>
      <c r="B101" s="63" t="n">
        <v>14</v>
      </c>
      <c r="C101" s="62" t="n">
        <f aca="false">B101*$F$6/12</f>
        <v>64.225</v>
      </c>
    </row>
    <row r="102" customFormat="false" ht="12.75" hidden="false" customHeight="false" outlineLevel="0" collapsed="false">
      <c r="A102" s="60" t="s">
        <v>122</v>
      </c>
      <c r="B102" s="63" t="n">
        <v>45</v>
      </c>
      <c r="C102" s="62" t="n">
        <f aca="false">B102*$F$6/12</f>
        <v>206.4375</v>
      </c>
    </row>
    <row r="103" customFormat="false" ht="12.75" hidden="false" customHeight="false" outlineLevel="0" collapsed="false">
      <c r="A103" s="60" t="s">
        <v>123</v>
      </c>
      <c r="B103" s="63" t="n">
        <v>29</v>
      </c>
      <c r="C103" s="62" t="n">
        <f aca="false">B103*$F$6/12</f>
        <v>133.0375</v>
      </c>
    </row>
    <row r="104" customFormat="false" ht="12.75" hidden="false" customHeight="false" outlineLevel="0" collapsed="false">
      <c r="A104" s="60" t="s">
        <v>124</v>
      </c>
      <c r="B104" s="63" t="n">
        <v>28</v>
      </c>
      <c r="C104" s="62" t="n">
        <f aca="false">B104*$F$6/12</f>
        <v>128.45</v>
      </c>
    </row>
    <row r="105" customFormat="false" ht="12.75" hidden="false" customHeight="false" outlineLevel="0" collapsed="false">
      <c r="A105" s="60" t="s">
        <v>125</v>
      </c>
      <c r="B105" s="63" t="n">
        <v>25</v>
      </c>
      <c r="C105" s="62" t="n">
        <f aca="false">B105*$F$6/12</f>
        <v>114.6875</v>
      </c>
    </row>
    <row r="106" customFormat="false" ht="12.75" hidden="false" customHeight="false" outlineLevel="0" collapsed="false">
      <c r="A106" s="60" t="s">
        <v>126</v>
      </c>
      <c r="B106" s="63" t="n">
        <v>0</v>
      </c>
      <c r="C106" s="62" t="n">
        <f aca="false">B106*$F$6/12</f>
        <v>0</v>
      </c>
    </row>
    <row r="107" customFormat="false" ht="12.75" hidden="false" customHeight="false" outlineLevel="0" collapsed="false">
      <c r="A107" s="60" t="s">
        <v>127</v>
      </c>
      <c r="B107" s="63" t="n">
        <v>20</v>
      </c>
      <c r="C107" s="62" t="n">
        <f aca="false">B107*$F$6/12</f>
        <v>91.75</v>
      </c>
    </row>
    <row r="108" customFormat="false" ht="12.75" hidden="false" customHeight="false" outlineLevel="0" collapsed="false">
      <c r="A108" s="60" t="s">
        <v>128</v>
      </c>
      <c r="B108" s="63" t="n">
        <v>27</v>
      </c>
      <c r="C108" s="62" t="n">
        <f aca="false">B108*$F$6/12</f>
        <v>123.8625</v>
      </c>
    </row>
    <row r="109" customFormat="false" ht="12.75" hidden="false" customHeight="false" outlineLevel="0" collapsed="false">
      <c r="A109" s="60" t="s">
        <v>129</v>
      </c>
      <c r="B109" s="63" t="n">
        <v>36.74</v>
      </c>
      <c r="C109" s="62" t="n">
        <f aca="false">B109*$F$6/12</f>
        <v>168.54475</v>
      </c>
    </row>
    <row r="110" customFormat="false" ht="12.75" hidden="false" customHeight="false" outlineLevel="0" collapsed="false">
      <c r="A110" s="60" t="s">
        <v>130</v>
      </c>
      <c r="B110" s="63" t="n">
        <v>8</v>
      </c>
      <c r="C110" s="62" t="n">
        <f aca="false">B110*$F$6/12</f>
        <v>36.7</v>
      </c>
    </row>
    <row r="111" customFormat="false" ht="12.75" hidden="false" customHeight="false" outlineLevel="0" collapsed="false">
      <c r="F111" s="64"/>
    </row>
    <row r="112" customFormat="false" ht="12.75" hidden="false" customHeight="false" outlineLevel="0" collapsed="false">
      <c r="B112" s="65" t="s">
        <v>131</v>
      </c>
      <c r="F112" s="64"/>
    </row>
    <row r="113" customFormat="false" ht="12.75" hidden="false" customHeight="false" outlineLevel="0" collapsed="false">
      <c r="A113" s="60" t="s">
        <v>118</v>
      </c>
      <c r="B113" s="41" t="n">
        <v>12</v>
      </c>
      <c r="F113" s="64"/>
    </row>
    <row r="114" customFormat="false" ht="12.75" hidden="false" customHeight="false" outlineLevel="0" collapsed="false">
      <c r="A114" s="60" t="s">
        <v>119</v>
      </c>
      <c r="B114" s="41" t="n">
        <v>0</v>
      </c>
      <c r="F114" s="64"/>
    </row>
    <row r="115" customFormat="false" ht="12.75" hidden="false" customHeight="false" outlineLevel="0" collapsed="false">
      <c r="A115" s="60" t="s">
        <v>120</v>
      </c>
      <c r="B115" s="41" t="n">
        <v>12</v>
      </c>
      <c r="F115" s="64"/>
    </row>
    <row r="116" customFormat="false" ht="12.75" hidden="false" customHeight="false" outlineLevel="0" collapsed="false">
      <c r="A116" s="60" t="s">
        <v>121</v>
      </c>
      <c r="B116" s="41" t="n">
        <v>12</v>
      </c>
      <c r="F116" s="64"/>
    </row>
    <row r="117" customFormat="false" ht="12.75" hidden="false" customHeight="false" outlineLevel="0" collapsed="false">
      <c r="A117" s="60" t="s">
        <v>122</v>
      </c>
      <c r="B117" s="41" t="n">
        <v>12</v>
      </c>
      <c r="F117" s="64"/>
    </row>
    <row r="118" customFormat="false" ht="12.75" hidden="false" customHeight="false" outlineLevel="0" collapsed="false">
      <c r="A118" s="60" t="s">
        <v>123</v>
      </c>
      <c r="B118" s="41" t="n">
        <v>12</v>
      </c>
      <c r="F118" s="64"/>
    </row>
    <row r="119" customFormat="false" ht="12.75" hidden="false" customHeight="false" outlineLevel="0" collapsed="false">
      <c r="A119" s="60" t="s">
        <v>124</v>
      </c>
      <c r="B119" s="41" t="n">
        <v>20</v>
      </c>
      <c r="F119" s="64"/>
    </row>
    <row r="120" customFormat="false" ht="12.75" hidden="false" customHeight="false" outlineLevel="0" collapsed="false">
      <c r="A120" s="60" t="s">
        <v>125</v>
      </c>
      <c r="B120" s="41" t="n">
        <v>12</v>
      </c>
      <c r="F120" s="64"/>
    </row>
    <row r="121" customFormat="false" ht="12.75" hidden="false" customHeight="false" outlineLevel="0" collapsed="false">
      <c r="A121" s="60" t="s">
        <v>126</v>
      </c>
      <c r="B121" s="41" t="n">
        <v>12</v>
      </c>
      <c r="F121" s="64"/>
    </row>
    <row r="122" customFormat="false" ht="12.75" hidden="false" customHeight="false" outlineLevel="0" collapsed="false">
      <c r="A122" s="60" t="s">
        <v>127</v>
      </c>
      <c r="B122" s="41" t="n">
        <v>12</v>
      </c>
    </row>
    <row r="123" customFormat="false" ht="12.75" hidden="false" customHeight="false" outlineLevel="0" collapsed="false">
      <c r="A123" s="60" t="s">
        <v>128</v>
      </c>
      <c r="B123" s="41" t="n">
        <v>12</v>
      </c>
    </row>
    <row r="124" customFormat="false" ht="12.75" hidden="false" customHeight="false" outlineLevel="0" collapsed="false">
      <c r="A124" s="60" t="s">
        <v>129</v>
      </c>
      <c r="B124" s="41" t="n">
        <v>12</v>
      </c>
    </row>
    <row r="125" customFormat="false" ht="12.75" hidden="false" customHeight="false" outlineLevel="0" collapsed="false">
      <c r="A125" s="60" t="s">
        <v>130</v>
      </c>
      <c r="B125" s="41" t="n">
        <v>12</v>
      </c>
    </row>
  </sheetData>
  <sheetProtection sheet="true" objects="true" scenarios="true"/>
  <mergeCells count="12">
    <mergeCell ref="A1:A2"/>
    <mergeCell ref="B1:D1"/>
    <mergeCell ref="B2:D2"/>
    <mergeCell ref="B8:D8"/>
    <mergeCell ref="E8:F8"/>
    <mergeCell ref="C9:D9"/>
    <mergeCell ref="C24:D24"/>
    <mergeCell ref="C39:D39"/>
    <mergeCell ref="C54:D54"/>
    <mergeCell ref="C69:D69"/>
    <mergeCell ref="C82:D82"/>
    <mergeCell ref="B96:C96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4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2" activeCellId="0" sqref="C2"/>
    </sheetView>
  </sheetViews>
  <sheetFormatPr defaultRowHeight="12.75" zeroHeight="false" outlineLevelRow="0" outlineLevelCol="0"/>
  <cols>
    <col collapsed="false" customWidth="true" hidden="false" outlineLevel="0" max="1" min="1" style="0" width="27.71"/>
    <col collapsed="false" customWidth="true" hidden="false" outlineLevel="0" max="2" min="2" style="0" width="27.58"/>
    <col collapsed="false" customWidth="true" hidden="false" outlineLevel="0" max="3" min="3" style="0" width="11.86"/>
    <col collapsed="false" customWidth="true" hidden="false" outlineLevel="0" max="4" min="4" style="0" width="8.71"/>
    <col collapsed="false" customWidth="true" hidden="false" outlineLevel="0" max="5" min="5" style="0" width="15"/>
    <col collapsed="false" customWidth="true" hidden="false" outlineLevel="0" max="9" min="6" style="0" width="8.71"/>
    <col collapsed="false" customWidth="true" hidden="false" outlineLevel="0" max="10" min="10" style="0" width="17.19"/>
    <col collapsed="false" customWidth="true" hidden="false" outlineLevel="0" max="1025" min="11" style="0" width="8.71"/>
  </cols>
  <sheetData>
    <row r="2" customFormat="false" ht="15" hidden="false" customHeight="false" outlineLevel="0" collapsed="false">
      <c r="A2" s="66" t="s">
        <v>132</v>
      </c>
      <c r="B2" s="66"/>
      <c r="C2" s="67" t="n">
        <v>4.850033</v>
      </c>
      <c r="J2" s="67" t="n">
        <v>4.850033</v>
      </c>
    </row>
    <row r="3" customFormat="false" ht="15" hidden="false" customHeight="false" outlineLevel="0" collapsed="false">
      <c r="A3" s="66" t="s">
        <v>133</v>
      </c>
      <c r="B3" s="66"/>
      <c r="C3" s="67" t="n">
        <f aca="false">56.2323/12</f>
        <v>4.686025</v>
      </c>
      <c r="E3" s="68" t="s">
        <v>134</v>
      </c>
      <c r="F3" s="68"/>
      <c r="G3" s="41" t="n">
        <v>449</v>
      </c>
    </row>
    <row r="4" customFormat="false" ht="15" hidden="false" customHeight="false" outlineLevel="0" collapsed="false">
      <c r="A4" s="69" t="s">
        <v>135</v>
      </c>
      <c r="B4" s="69"/>
      <c r="C4" s="67" t="n">
        <f aca="false">55.8969/12</f>
        <v>4.658075</v>
      </c>
      <c r="E4" s="68" t="s">
        <v>136</v>
      </c>
      <c r="F4" s="68"/>
      <c r="G4" s="41" t="n">
        <v>716</v>
      </c>
    </row>
    <row r="5" customFormat="false" ht="15" hidden="false" customHeight="false" outlineLevel="0" collapsed="false">
      <c r="A5" s="69" t="s">
        <v>137</v>
      </c>
      <c r="B5" s="69"/>
      <c r="C5" s="67" t="n">
        <f aca="false">55.5635/12</f>
        <v>4.63029166666667</v>
      </c>
    </row>
    <row r="6" customFormat="false" ht="15" hidden="false" customHeight="false" outlineLevel="0" collapsed="false">
      <c r="A6" s="70" t="s">
        <v>138</v>
      </c>
      <c r="B6" s="70"/>
      <c r="F6" s="71" t="s">
        <v>139</v>
      </c>
      <c r="G6" s="71"/>
    </row>
    <row r="7" customFormat="false" ht="12.75" hidden="false" customHeight="false" outlineLevel="0" collapsed="false">
      <c r="A7" s="72" t="n">
        <v>40544</v>
      </c>
      <c r="B7" s="72"/>
      <c r="C7" s="73" t="n">
        <v>0.0812</v>
      </c>
      <c r="F7" s="74" t="n">
        <v>0</v>
      </c>
      <c r="G7" s="75" t="n">
        <v>0</v>
      </c>
    </row>
    <row r="8" customFormat="false" ht="12.75" hidden="false" customHeight="false" outlineLevel="0" collapsed="false">
      <c r="A8" s="72" t="n">
        <v>40909</v>
      </c>
      <c r="B8" s="72"/>
      <c r="C8" s="73" t="n">
        <v>0.0839</v>
      </c>
      <c r="F8" s="76" t="n">
        <v>1</v>
      </c>
      <c r="G8" s="77" t="n">
        <v>2.29</v>
      </c>
    </row>
    <row r="9" customFormat="false" ht="17.25" hidden="false" customHeight="true" outlineLevel="0" collapsed="false">
      <c r="A9" s="72" t="n">
        <v>41275</v>
      </c>
      <c r="B9" s="72"/>
      <c r="C9" s="73" t="n">
        <v>0.0876</v>
      </c>
      <c r="F9" s="76" t="n">
        <v>2</v>
      </c>
      <c r="G9" s="77" t="n">
        <f aca="false">ROUNDDOWN(10.67+(plancher*point)*3/100,2)</f>
        <v>75.99</v>
      </c>
    </row>
    <row r="10" customFormat="false" ht="15.75" hidden="false" customHeight="true" outlineLevel="0" collapsed="false">
      <c r="A10" s="72" t="n">
        <v>41640</v>
      </c>
      <c r="B10" s="72"/>
      <c r="C10" s="73" t="n">
        <v>0.0914</v>
      </c>
      <c r="F10" s="76" t="n">
        <v>3</v>
      </c>
      <c r="G10" s="77" t="n">
        <f aca="false">ROUND(15.24+(plancher*point)*8/100,2)</f>
        <v>189.45</v>
      </c>
    </row>
    <row r="11" customFormat="false" ht="15.75" hidden="false" customHeight="true" outlineLevel="0" collapsed="false">
      <c r="A11" s="72" t="n">
        <v>42005</v>
      </c>
      <c r="B11" s="72"/>
      <c r="C11" s="73" t="n">
        <v>0.0954</v>
      </c>
      <c r="F11" s="76" t="n">
        <v>4</v>
      </c>
      <c r="G11" s="77" t="n">
        <f aca="false">ROUNDDOWN(G10+4.57+(plancher*point)*6/100,2)</f>
        <v>324.67</v>
      </c>
      <c r="O11" s="78"/>
    </row>
    <row r="12" customFormat="false" ht="12.75" hidden="false" customHeight="false" outlineLevel="0" collapsed="false">
      <c r="A12" s="72" t="n">
        <v>42370</v>
      </c>
      <c r="B12" s="72"/>
      <c r="C12" s="73" t="n">
        <v>0.0994</v>
      </c>
      <c r="F12" s="76" t="n">
        <v>5</v>
      </c>
      <c r="G12" s="77" t="n">
        <f aca="false">ROUNDDOWN(G11+4.57+(plancher*point)*6/100,2)</f>
        <v>459.89</v>
      </c>
      <c r="O12" s="78"/>
    </row>
    <row r="13" customFormat="false" ht="12.75" hidden="false" customHeight="false" outlineLevel="0" collapsed="false">
      <c r="A13" s="72" t="n">
        <v>42736</v>
      </c>
      <c r="B13" s="72"/>
      <c r="C13" s="73" t="n">
        <v>0.1029</v>
      </c>
      <c r="F13" s="76" t="n">
        <v>6</v>
      </c>
      <c r="G13" s="77" t="n">
        <f aca="false">ROUNDDOWN(G12+4.57+(plancher*point)*6/100,2)</f>
        <v>595.11</v>
      </c>
      <c r="J13" s="79"/>
    </row>
    <row r="14" customFormat="false" ht="12.75" hidden="false" customHeight="false" outlineLevel="0" collapsed="false">
      <c r="A14" s="72" t="n">
        <v>43101</v>
      </c>
      <c r="B14" s="72"/>
      <c r="C14" s="73" t="n">
        <v>0.1056</v>
      </c>
      <c r="F14" s="76" t="n">
        <v>7</v>
      </c>
      <c r="G14" s="77" t="n">
        <f aca="false">ROUNDDOWN(G13+4.57+(plancher*point)*6/100,2)</f>
        <v>730.33</v>
      </c>
      <c r="J14" s="79"/>
    </row>
    <row r="15" customFormat="false" ht="15.75" hidden="false" customHeight="false" outlineLevel="0" collapsed="false">
      <c r="A15" s="80" t="n">
        <v>43466</v>
      </c>
      <c r="B15" s="80"/>
      <c r="C15" s="81" t="n">
        <v>0.1083</v>
      </c>
      <c r="F15" s="76" t="n">
        <v>8</v>
      </c>
      <c r="G15" s="77" t="n">
        <f aca="false">ROUNDDOWN(G14+4.57+(plancher*point)*6/100,2)</f>
        <v>865.55</v>
      </c>
      <c r="J15" s="79"/>
    </row>
    <row r="16" customFormat="false" ht="15.75" hidden="false" customHeight="false" outlineLevel="0" collapsed="false">
      <c r="A16" s="80" t="n">
        <v>43831</v>
      </c>
      <c r="B16" s="80"/>
      <c r="C16" s="81" t="n">
        <v>0.111</v>
      </c>
      <c r="F16" s="76" t="n">
        <v>9</v>
      </c>
      <c r="G16" s="77" t="n">
        <f aca="false">ROUNDDOWN(G15+4.57+(plancher*point)*6/100,2)</f>
        <v>1000.77</v>
      </c>
    </row>
    <row r="17" customFormat="false" ht="12.75" hidden="false" customHeight="false" outlineLevel="0" collapsed="false">
      <c r="F17" s="82" t="n">
        <v>10</v>
      </c>
      <c r="G17" s="83" t="n">
        <f aca="false">ROUNDDOWN(G16+4.57+(plancher*point)*6/100,2)</f>
        <v>1135.99</v>
      </c>
    </row>
    <row r="19" customFormat="false" ht="12.8" hidden="false" customHeight="false" outlineLevel="0" collapsed="false">
      <c r="F19" s="68" t="s">
        <v>140</v>
      </c>
      <c r="G19" s="68"/>
    </row>
    <row r="20" customFormat="false" ht="12.75" hidden="false" customHeight="false" outlineLevel="0" collapsed="false">
      <c r="F20" s="74" t="n">
        <v>0</v>
      </c>
      <c r="G20" s="75" t="n">
        <v>0</v>
      </c>
    </row>
    <row r="21" customFormat="false" ht="12.75" hidden="false" customHeight="false" outlineLevel="0" collapsed="false">
      <c r="B21" s="84" t="s">
        <v>141</v>
      </c>
      <c r="F21" s="76" t="n">
        <v>1</v>
      </c>
      <c r="G21" s="77" t="n">
        <v>2.29</v>
      </c>
    </row>
    <row r="22" customFormat="false" ht="12.75" hidden="false" customHeight="false" outlineLevel="0" collapsed="false">
      <c r="A22" s="85" t="s">
        <v>142</v>
      </c>
      <c r="B22" s="86" t="n">
        <v>0.9825</v>
      </c>
      <c r="F22" s="76" t="n">
        <v>2</v>
      </c>
      <c r="G22" s="77" t="n">
        <f aca="false">ROUNDDOWN(10.67+(SAISIE!E5*point)*3/100,2)</f>
        <v>76.43</v>
      </c>
    </row>
    <row r="23" customFormat="false" ht="12.75" hidden="false" customHeight="false" outlineLevel="0" collapsed="false">
      <c r="A23" s="85" t="s">
        <v>143</v>
      </c>
      <c r="B23" s="87" t="n">
        <v>0.9825</v>
      </c>
      <c r="F23" s="76" t="n">
        <v>3</v>
      </c>
      <c r="G23" s="77" t="n">
        <f aca="false">ROUNDDOWN(15.24+(SAISIE!E5*point)*8/100,2)</f>
        <v>190.61</v>
      </c>
    </row>
    <row r="24" customFormat="false" ht="12.75" hidden="false" customHeight="false" outlineLevel="0" collapsed="false">
      <c r="A24" s="85" t="s">
        <v>144</v>
      </c>
      <c r="B24" s="87" t="n">
        <v>0.9825</v>
      </c>
      <c r="F24" s="76" t="n">
        <v>4</v>
      </c>
      <c r="G24" s="77" t="n">
        <f aca="false">ROUNDDOWN(G23+4.57+(SAISIE!E5*point)*6/100,2)</f>
        <v>326.71</v>
      </c>
    </row>
    <row r="25" customFormat="false" ht="12.75" hidden="false" customHeight="false" outlineLevel="0" collapsed="false">
      <c r="A25" s="85" t="s">
        <v>145</v>
      </c>
      <c r="B25" s="88"/>
      <c r="F25" s="76" t="n">
        <v>5</v>
      </c>
      <c r="G25" s="77" t="n">
        <f aca="false">ROUNDDOWN(G24+4.57+(SAISIE!E5*point)*6/100,2)</f>
        <v>462.81</v>
      </c>
    </row>
    <row r="26" customFormat="false" ht="12.75" hidden="false" customHeight="false" outlineLevel="0" collapsed="false">
      <c r="A26" s="85" t="s">
        <v>146</v>
      </c>
      <c r="B26" s="88"/>
      <c r="F26" s="76" t="n">
        <v>6</v>
      </c>
      <c r="G26" s="77" t="n">
        <f aca="false">ROUNDDOWN(G25+4.57+(SAISIE!E5*point)*6/100,2)</f>
        <v>598.91</v>
      </c>
    </row>
    <row r="27" customFormat="false" ht="12.75" hidden="false" customHeight="false" outlineLevel="0" collapsed="false">
      <c r="B27" s="84" t="s">
        <v>147</v>
      </c>
      <c r="F27" s="76" t="n">
        <v>7</v>
      </c>
      <c r="G27" s="77" t="n">
        <f aca="false">ROUNDDOWN(G26+4.57+(SAISIE!E5*point)*6/100,2)</f>
        <v>735.01</v>
      </c>
    </row>
    <row r="28" customFormat="false" ht="12.8" hidden="false" customHeight="false" outlineLevel="0" collapsed="false">
      <c r="A28" s="85" t="s">
        <v>142</v>
      </c>
      <c r="B28" s="87" t="n">
        <v>0.024</v>
      </c>
      <c r="F28" s="76" t="n">
        <v>8</v>
      </c>
      <c r="G28" s="77" t="n">
        <f aca="false">ROUNDDOWN(G27+4.57+(SAISIE!E5*point)*6/100,2)</f>
        <v>871.11</v>
      </c>
    </row>
    <row r="29" customFormat="false" ht="12.75" hidden="false" customHeight="false" outlineLevel="0" collapsed="false">
      <c r="A29" s="85" t="s">
        <v>143</v>
      </c>
      <c r="B29" s="87" t="n">
        <v>0.068</v>
      </c>
      <c r="F29" s="76" t="n">
        <v>9</v>
      </c>
      <c r="G29" s="77" t="n">
        <f aca="false">ROUNDDOWN(G28+4.57+(SAISIE!E5*point)*6/100,2)</f>
        <v>1007.21</v>
      </c>
    </row>
    <row r="30" customFormat="false" ht="12.75" hidden="false" customHeight="false" outlineLevel="0" collapsed="false">
      <c r="A30" s="85" t="s">
        <v>144</v>
      </c>
      <c r="B30" s="87" t="n">
        <v>0.005</v>
      </c>
      <c r="F30" s="82" t="n">
        <v>10</v>
      </c>
      <c r="G30" s="83" t="n">
        <f aca="false">ROUNDDOWN(G29+4.57+(SAISIE!E5*point)*6/100,2)</f>
        <v>1143.31</v>
      </c>
    </row>
    <row r="31" customFormat="false" ht="12.75" hidden="false" customHeight="false" outlineLevel="0" collapsed="false">
      <c r="A31" s="85" t="s">
        <v>145</v>
      </c>
      <c r="B31" s="87" t="n">
        <v>0.01</v>
      </c>
    </row>
    <row r="32" customFormat="false" ht="12.75" hidden="false" customHeight="false" outlineLevel="0" collapsed="false">
      <c r="A32" s="85" t="s">
        <v>146</v>
      </c>
      <c r="B32" s="87" t="n">
        <v>0.05</v>
      </c>
      <c r="F32" s="68" t="s">
        <v>148</v>
      </c>
      <c r="G32" s="68"/>
    </row>
    <row r="33" customFormat="false" ht="12.75" hidden="false" customHeight="false" outlineLevel="0" collapsed="false">
      <c r="A33" s="85" t="s">
        <v>149</v>
      </c>
      <c r="B33" s="87" t="n">
        <v>0.2</v>
      </c>
      <c r="F33" s="74" t="n">
        <v>0</v>
      </c>
      <c r="G33" s="75" t="n">
        <v>0</v>
      </c>
    </row>
    <row r="34" customFormat="false" ht="12.8" hidden="false" customHeight="false" outlineLevel="0" collapsed="false">
      <c r="A34" s="85" t="s">
        <v>150</v>
      </c>
      <c r="B34" s="87" t="n">
        <v>0.111</v>
      </c>
      <c r="F34" s="76" t="n">
        <v>1</v>
      </c>
      <c r="G34" s="77" t="n">
        <v>2.29</v>
      </c>
    </row>
    <row r="35" customFormat="false" ht="12.75" hidden="false" customHeight="false" outlineLevel="0" collapsed="false">
      <c r="F35" s="76" t="n">
        <v>2</v>
      </c>
      <c r="G35" s="77" t="n">
        <f aca="false">ROUNDDOWN(10.67+(plafond*point)*3/100,2)</f>
        <v>114.84</v>
      </c>
    </row>
    <row r="36" customFormat="false" ht="12.75" hidden="false" customHeight="false" outlineLevel="0" collapsed="false">
      <c r="F36" s="76" t="n">
        <v>3</v>
      </c>
      <c r="G36" s="77" t="n">
        <f aca="false">ROUNDDOWN(15.24+(plafond*point)*8/100,2)</f>
        <v>293.04</v>
      </c>
    </row>
    <row r="37" customFormat="false" ht="12.75" hidden="false" customHeight="false" outlineLevel="0" collapsed="false">
      <c r="F37" s="76" t="n">
        <v>4</v>
      </c>
      <c r="G37" s="77" t="n">
        <f aca="false">ROUNDDOWN(G36+4.57+(plafond*point)*6/100,2)</f>
        <v>505.96</v>
      </c>
    </row>
    <row r="38" customFormat="false" ht="12.75" hidden="false" customHeight="false" outlineLevel="0" collapsed="false">
      <c r="F38" s="76" t="n">
        <v>5</v>
      </c>
      <c r="G38" s="77" t="n">
        <f aca="false">ROUNDDOWN(G37+4.57+(plafond*point)*6/100,2)</f>
        <v>718.88</v>
      </c>
    </row>
    <row r="39" customFormat="false" ht="12.75" hidden="false" customHeight="false" outlineLevel="0" collapsed="false">
      <c r="F39" s="76" t="n">
        <v>6</v>
      </c>
      <c r="G39" s="77" t="n">
        <f aca="false">ROUNDDOWN(G38+4.57+(plafond*point)*6/100,2)</f>
        <v>931.8</v>
      </c>
    </row>
    <row r="40" customFormat="false" ht="12.75" hidden="false" customHeight="false" outlineLevel="0" collapsed="false">
      <c r="F40" s="76" t="n">
        <v>7</v>
      </c>
      <c r="G40" s="77" t="n">
        <f aca="false">ROUNDDOWN(G39+4.57+(plafond*point)*6/100,2)</f>
        <v>1144.72</v>
      </c>
    </row>
    <row r="41" customFormat="false" ht="12.75" hidden="false" customHeight="false" outlineLevel="0" collapsed="false">
      <c r="F41" s="76" t="n">
        <v>8</v>
      </c>
      <c r="G41" s="77" t="n">
        <f aca="false">ROUNDDOWN(G40+4.57+(plafond*point)*6/100,2)</f>
        <v>1357.64</v>
      </c>
    </row>
    <row r="42" customFormat="false" ht="12.75" hidden="false" customHeight="false" outlineLevel="0" collapsed="false">
      <c r="F42" s="76" t="n">
        <v>9</v>
      </c>
      <c r="G42" s="77" t="n">
        <f aca="false">ROUNDDOWN(G41+4.57+(plafond*point)*6/100,2)</f>
        <v>1570.56</v>
      </c>
    </row>
    <row r="43" customFormat="false" ht="12.75" hidden="false" customHeight="false" outlineLevel="0" collapsed="false">
      <c r="F43" s="82" t="n">
        <v>10</v>
      </c>
      <c r="G43" s="83" t="n">
        <f aca="false">ROUNDDOWN(G42+4.57+(plafond*point)*6/100,2)</f>
        <v>1783.48</v>
      </c>
    </row>
  </sheetData>
  <sheetProtection sheet="true" objects="true" scenarios="true"/>
  <mergeCells count="20">
    <mergeCell ref="A2:B2"/>
    <mergeCell ref="A3:B3"/>
    <mergeCell ref="E3:F3"/>
    <mergeCell ref="A4:B4"/>
    <mergeCell ref="E4:F4"/>
    <mergeCell ref="A5:B5"/>
    <mergeCell ref="A6:B6"/>
    <mergeCell ref="F6:G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F19:G19"/>
    <mergeCell ref="F32:G32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J38" activeCellId="0" sqref="J38"/>
    </sheetView>
  </sheetViews>
  <sheetFormatPr defaultRowHeight="12.75" zeroHeight="false" outlineLevelRow="0" outlineLevelCol="0"/>
  <cols>
    <col collapsed="false" customWidth="true" hidden="false" outlineLevel="0" max="1" min="1" style="0" width="19.57"/>
    <col collapsed="false" customWidth="true" hidden="false" outlineLevel="0" max="2" min="2" style="0" width="14.57"/>
    <col collapsed="false" customWidth="true" hidden="false" outlineLevel="0" max="3" min="3" style="0" width="8.71"/>
    <col collapsed="false" customWidth="true" hidden="false" outlineLevel="0" max="4" min="4" style="0" width="11.86"/>
    <col collapsed="false" customWidth="true" hidden="false" outlineLevel="0" max="5" min="5" style="0" width="12.14"/>
    <col collapsed="false" customWidth="true" hidden="false" outlineLevel="0" max="7" min="6" style="0" width="8.71"/>
    <col collapsed="false" customWidth="true" hidden="false" outlineLevel="0" max="9" min="8" style="0" width="11.3"/>
    <col collapsed="false" customWidth="true" hidden="false" outlineLevel="0" max="10" min="10" style="0" width="18"/>
    <col collapsed="false" customWidth="true" hidden="false" outlineLevel="0" max="994" min="11" style="0" width="8.71"/>
    <col collapsed="false" customWidth="true" hidden="false" outlineLevel="0" max="1025" min="995" style="0" width="9.13"/>
  </cols>
  <sheetData>
    <row r="1" customFormat="false" ht="12.75" hidden="false" customHeight="false" outlineLevel="0" collapsed="false">
      <c r="D1" s="89" t="n">
        <v>2019</v>
      </c>
      <c r="E1" s="89"/>
      <c r="F1" s="89" t="s">
        <v>151</v>
      </c>
      <c r="G1" s="89"/>
    </row>
    <row r="2" customFormat="false" ht="12.75" hidden="false" customHeight="false" outlineLevel="0" collapsed="false">
      <c r="A2" s="68" t="s">
        <v>152</v>
      </c>
      <c r="B2" s="68"/>
      <c r="D2" s="68" t="s">
        <v>153</v>
      </c>
      <c r="E2" s="68"/>
      <c r="F2" s="68" t="s">
        <v>154</v>
      </c>
      <c r="G2" s="68" t="s">
        <v>155</v>
      </c>
      <c r="H2" s="0" t="s">
        <v>156</v>
      </c>
      <c r="I2" s="0" t="s">
        <v>157</v>
      </c>
    </row>
    <row r="3" customFormat="false" ht="12.75" hidden="false" customHeight="false" outlineLevel="0" collapsed="false">
      <c r="A3" s="74" t="n">
        <v>100</v>
      </c>
      <c r="B3" s="90" t="n">
        <v>1</v>
      </c>
      <c r="D3" s="74" t="n">
        <v>1</v>
      </c>
      <c r="E3" s="91" t="n">
        <v>343</v>
      </c>
      <c r="F3" s="89" t="n">
        <v>2</v>
      </c>
      <c r="G3" s="89"/>
    </row>
    <row r="4" customFormat="false" ht="12.75" hidden="false" customHeight="false" outlineLevel="0" collapsed="false">
      <c r="A4" s="76" t="n">
        <v>90</v>
      </c>
      <c r="B4" s="92" t="n">
        <v>0.914285714285714</v>
      </c>
      <c r="D4" s="76" t="n">
        <v>2</v>
      </c>
      <c r="E4" s="93" t="n">
        <v>349</v>
      </c>
      <c r="F4" s="68" t="n">
        <v>2</v>
      </c>
      <c r="G4" s="68"/>
    </row>
    <row r="5" customFormat="false" ht="12.8" hidden="false" customHeight="false" outlineLevel="0" collapsed="false">
      <c r="A5" s="76" t="n">
        <v>80</v>
      </c>
      <c r="B5" s="92" t="n">
        <v>0.857142857142857</v>
      </c>
      <c r="D5" s="76" t="n">
        <v>3</v>
      </c>
      <c r="E5" s="93" t="n">
        <v>355</v>
      </c>
      <c r="F5" s="68" t="n">
        <v>2</v>
      </c>
      <c r="G5" s="68" t="n">
        <v>0</v>
      </c>
      <c r="H5" s="94" t="n">
        <v>43002</v>
      </c>
      <c r="I5" s="94" t="n">
        <f aca="false">DATE(YEAR(H5)+F5,MONTH(H5)+G5,DAY(H5)-1)</f>
        <v>43731</v>
      </c>
    </row>
    <row r="6" customFormat="false" ht="12.8" hidden="false" customHeight="false" outlineLevel="0" collapsed="false">
      <c r="A6" s="76" t="n">
        <v>70</v>
      </c>
      <c r="B6" s="92" t="n">
        <v>0.7</v>
      </c>
      <c r="D6" s="76" t="n">
        <v>4</v>
      </c>
      <c r="E6" s="93" t="n">
        <v>361</v>
      </c>
      <c r="F6" s="68" t="n">
        <v>2</v>
      </c>
      <c r="G6" s="68"/>
      <c r="H6" s="94" t="n">
        <f aca="false">DATE(YEAR(I5),MONTH(I5),DAY(I5))+1</f>
        <v>43732</v>
      </c>
      <c r="I6" s="94" t="n">
        <f aca="false">DATE(YEAR(H6)+F6,MONTH(H6)+G6,DAY(H6)-1)</f>
        <v>44462</v>
      </c>
    </row>
    <row r="7" customFormat="false" ht="12.8" hidden="false" customHeight="false" outlineLevel="0" collapsed="false">
      <c r="A7" s="76" t="n">
        <v>60</v>
      </c>
      <c r="B7" s="92" t="n">
        <v>0.6</v>
      </c>
      <c r="C7" s="95"/>
      <c r="D7" s="76" t="n">
        <v>5</v>
      </c>
      <c r="E7" s="93" t="n">
        <v>369</v>
      </c>
      <c r="F7" s="68" t="n">
        <v>2</v>
      </c>
      <c r="G7" s="68"/>
      <c r="H7" s="94" t="n">
        <f aca="false">DATE(YEAR(I6),MONTH(I6),DAY(I6))+1</f>
        <v>44463</v>
      </c>
      <c r="I7" s="94" t="n">
        <f aca="false">DATE(YEAR(H7)+F7,MONTH(H7)+G7,DAY(H7)-1)</f>
        <v>45192</v>
      </c>
    </row>
    <row r="8" customFormat="false" ht="12.8" hidden="false" customHeight="false" outlineLevel="0" collapsed="false">
      <c r="A8" s="82" t="n">
        <v>50</v>
      </c>
      <c r="B8" s="96" t="n">
        <v>0.5</v>
      </c>
      <c r="C8" s="95"/>
      <c r="D8" s="76" t="n">
        <v>6</v>
      </c>
      <c r="E8" s="93" t="n">
        <v>381</v>
      </c>
      <c r="F8" s="68" t="n">
        <v>2</v>
      </c>
      <c r="G8" s="68"/>
      <c r="H8" s="94" t="n">
        <f aca="false">DATE(YEAR(I7),MONTH(I7),DAY(I7))+1</f>
        <v>45193</v>
      </c>
      <c r="I8" s="94" t="n">
        <f aca="false">DATE(YEAR(H8)+F8,MONTH(H8)+G8,DAY(H8)-1)</f>
        <v>45923</v>
      </c>
    </row>
    <row r="9" customFormat="false" ht="12.8" hidden="false" customHeight="false" outlineLevel="0" collapsed="false">
      <c r="A9" s="0" t="s">
        <v>158</v>
      </c>
      <c r="B9" s="1" t="n">
        <f aca="false">VLOOKUP(SAISIE!B12,temps_partiel,2,0)</f>
        <v>1</v>
      </c>
      <c r="C9" s="95"/>
      <c r="D9" s="76" t="n">
        <v>7</v>
      </c>
      <c r="E9" s="93" t="n">
        <v>396</v>
      </c>
      <c r="F9" s="68" t="n">
        <v>2</v>
      </c>
      <c r="G9" s="68"/>
      <c r="H9" s="94" t="n">
        <f aca="false">DATE(YEAR(I8),MONTH(I8),DAY(I8))+1</f>
        <v>45924</v>
      </c>
      <c r="I9" s="94" t="n">
        <f aca="false">DATE(YEAR(H9)+F9,MONTH(H9)+G9,DAY(H9)-1)</f>
        <v>46653</v>
      </c>
    </row>
    <row r="10" customFormat="false" ht="12.8" hidden="false" customHeight="false" outlineLevel="0" collapsed="false">
      <c r="A10" s="68" t="s">
        <v>159</v>
      </c>
      <c r="B10" s="68"/>
      <c r="C10" s="95"/>
      <c r="D10" s="76" t="n">
        <v>8</v>
      </c>
      <c r="E10" s="93" t="n">
        <v>415</v>
      </c>
      <c r="F10" s="68" t="n">
        <v>3</v>
      </c>
      <c r="G10" s="68"/>
      <c r="H10" s="94" t="n">
        <f aca="false">DATE(YEAR(I9),MONTH(I9),DAY(I9))+1</f>
        <v>46654</v>
      </c>
      <c r="I10" s="94" t="n">
        <f aca="false">DATE(YEAR(H10)+F10,MONTH(H10)+G10,DAY(H10)-1)</f>
        <v>47749</v>
      </c>
    </row>
    <row r="11" customFormat="false" ht="12.8" hidden="false" customHeight="false" outlineLevel="0" collapsed="false">
      <c r="A11" s="74" t="n">
        <v>1</v>
      </c>
      <c r="B11" s="97" t="n">
        <v>1</v>
      </c>
      <c r="C11" s="95"/>
      <c r="D11" s="76" t="n">
        <v>9</v>
      </c>
      <c r="E11" s="93" t="n">
        <v>431</v>
      </c>
      <c r="F11" s="68" t="n">
        <v>3</v>
      </c>
      <c r="G11" s="68"/>
      <c r="H11" s="94" t="n">
        <f aca="false">DATE(YEAR(I10),MONTH(I10),DAY(I10))+1</f>
        <v>47750</v>
      </c>
      <c r="I11" s="94" t="n">
        <f aca="false">DATE(YEAR(H11)+F11,MONTH(H11)+G11,DAY(H11)-1)</f>
        <v>48845</v>
      </c>
    </row>
    <row r="12" customFormat="false" ht="12.8" hidden="false" customHeight="false" outlineLevel="0" collapsed="false">
      <c r="A12" s="76" t="n">
        <v>2</v>
      </c>
      <c r="B12" s="98" t="n">
        <v>0.9</v>
      </c>
      <c r="C12" s="95"/>
      <c r="D12" s="76" t="n">
        <v>10</v>
      </c>
      <c r="E12" s="93" t="n">
        <v>441</v>
      </c>
      <c r="F12" s="68" t="n">
        <v>3</v>
      </c>
      <c r="G12" s="68"/>
      <c r="H12" s="94" t="n">
        <f aca="false">DATE(YEAR(I11),MONTH(I11),DAY(I11))+1</f>
        <v>48846</v>
      </c>
      <c r="I12" s="94" t="n">
        <f aca="false">DATE(YEAR(H12)+F12,MONTH(H12)+G12,DAY(H12)-1)</f>
        <v>49941</v>
      </c>
    </row>
    <row r="13" customFormat="false" ht="12.8" hidden="false" customHeight="false" outlineLevel="0" collapsed="false">
      <c r="A13" s="76" t="n">
        <v>3</v>
      </c>
      <c r="B13" s="98" t="n">
        <v>0.8</v>
      </c>
      <c r="C13" s="95"/>
      <c r="D13" s="76" t="n">
        <v>11</v>
      </c>
      <c r="E13" s="93" t="n">
        <v>457</v>
      </c>
      <c r="F13" s="68" t="n">
        <v>3</v>
      </c>
      <c r="G13" s="68"/>
      <c r="H13" s="94" t="n">
        <f aca="false">DATE(YEAR(I12),MONTH(I12),DAY(I12))+1</f>
        <v>49942</v>
      </c>
      <c r="I13" s="94" t="n">
        <f aca="false">DATE(YEAR(H13)+F13,MONTH(H13)+G13,DAY(H13)-1)</f>
        <v>51036</v>
      </c>
    </row>
    <row r="14" customFormat="false" ht="12.8" hidden="false" customHeight="false" outlineLevel="0" collapsed="false">
      <c r="A14" s="76" t="n">
        <v>4</v>
      </c>
      <c r="B14" s="98" t="n">
        <v>0.7</v>
      </c>
      <c r="D14" s="76" t="n">
        <v>12</v>
      </c>
      <c r="E14" s="93" t="n">
        <v>477</v>
      </c>
      <c r="F14" s="68" t="n">
        <v>4</v>
      </c>
      <c r="G14" s="68"/>
      <c r="H14" s="94" t="n">
        <f aca="false">DATE(YEAR(I13),MONTH(I13),DAY(I13))+1</f>
        <v>51037</v>
      </c>
      <c r="I14" s="94" t="n">
        <f aca="false">DATE(YEAR(H14)+F14,MONTH(H14)+G14,DAY(H14)-1)</f>
        <v>52497</v>
      </c>
    </row>
    <row r="15" customFormat="false" ht="12.8" hidden="false" customHeight="false" outlineLevel="0" collapsed="false">
      <c r="A15" s="76" t="n">
        <v>5</v>
      </c>
      <c r="B15" s="98" t="n">
        <v>0.6</v>
      </c>
      <c r="D15" s="82" t="n">
        <v>13</v>
      </c>
      <c r="E15" s="99" t="n">
        <v>503</v>
      </c>
      <c r="F15" s="89"/>
      <c r="G15" s="89"/>
      <c r="H15" s="94" t="n">
        <f aca="false">DATE(YEAR(I14),MONTH(I14),DAY(I14))+1</f>
        <v>52498</v>
      </c>
      <c r="I15" s="94"/>
    </row>
    <row r="16" customFormat="false" ht="12.8" hidden="false" customHeight="false" outlineLevel="0" collapsed="false">
      <c r="A16" s="82" t="n">
        <v>6</v>
      </c>
      <c r="B16" s="100" t="n">
        <v>0.5</v>
      </c>
      <c r="E16" s="101"/>
      <c r="F16" s="89"/>
      <c r="G16" s="89"/>
    </row>
    <row r="17" customFormat="false" ht="12.8" hidden="false" customHeight="false" outlineLevel="0" collapsed="false">
      <c r="D17" s="68" t="s">
        <v>3</v>
      </c>
      <c r="E17" s="68"/>
      <c r="F17" s="68"/>
      <c r="G17" s="68"/>
    </row>
    <row r="18" customFormat="false" ht="12.8" hidden="false" customHeight="false" outlineLevel="0" collapsed="false">
      <c r="D18" s="74" t="n">
        <v>1</v>
      </c>
      <c r="E18" s="91" t="n">
        <v>356</v>
      </c>
      <c r="F18" s="89" t="n">
        <v>2</v>
      </c>
      <c r="G18" s="89"/>
    </row>
    <row r="19" customFormat="false" ht="12.8" hidden="false" customHeight="false" outlineLevel="0" collapsed="false">
      <c r="D19" s="76" t="n">
        <v>2</v>
      </c>
      <c r="E19" s="93" t="n">
        <v>362</v>
      </c>
      <c r="F19" s="68" t="n">
        <v>2</v>
      </c>
      <c r="G19" s="68"/>
    </row>
    <row r="20" customFormat="false" ht="12.8" hidden="false" customHeight="false" outlineLevel="0" collapsed="false">
      <c r="D20" s="76" t="n">
        <v>3</v>
      </c>
      <c r="E20" s="93" t="n">
        <v>369</v>
      </c>
      <c r="F20" s="68" t="n">
        <v>2</v>
      </c>
      <c r="G20" s="68"/>
    </row>
    <row r="21" customFormat="false" ht="12.8" hidden="false" customHeight="false" outlineLevel="0" collapsed="false">
      <c r="D21" s="76" t="n">
        <v>4</v>
      </c>
      <c r="E21" s="93" t="n">
        <v>379</v>
      </c>
      <c r="F21" s="68" t="n">
        <v>2</v>
      </c>
      <c r="G21" s="68"/>
      <c r="H21" s="94"/>
      <c r="I21" s="94"/>
    </row>
    <row r="22" customFormat="false" ht="12.8" hidden="false" customHeight="false" outlineLevel="0" collapsed="false">
      <c r="D22" s="76" t="n">
        <v>5</v>
      </c>
      <c r="E22" s="93" t="n">
        <v>390</v>
      </c>
      <c r="F22" s="68" t="n">
        <v>2</v>
      </c>
      <c r="G22" s="68"/>
      <c r="H22" s="94"/>
    </row>
    <row r="23" customFormat="false" ht="12.8" hidden="false" customHeight="false" outlineLevel="0" collapsed="false">
      <c r="D23" s="76" t="n">
        <v>6</v>
      </c>
      <c r="E23" s="93" t="n">
        <v>401</v>
      </c>
      <c r="F23" s="68" t="n">
        <v>2</v>
      </c>
      <c r="G23" s="68"/>
    </row>
    <row r="24" customFormat="false" ht="12.8" hidden="false" customHeight="false" outlineLevel="0" collapsed="false">
      <c r="D24" s="76" t="n">
        <v>7</v>
      </c>
      <c r="E24" s="93" t="n">
        <v>416</v>
      </c>
      <c r="F24" s="68" t="n">
        <v>2</v>
      </c>
      <c r="G24" s="68"/>
    </row>
    <row r="25" customFormat="false" ht="12.8" hidden="false" customHeight="false" outlineLevel="0" collapsed="false">
      <c r="D25" s="76" t="n">
        <v>8</v>
      </c>
      <c r="E25" s="93" t="n">
        <v>436</v>
      </c>
      <c r="F25" s="68" t="n">
        <v>3</v>
      </c>
      <c r="G25" s="68"/>
    </row>
    <row r="26" customFormat="false" ht="12.8" hidden="false" customHeight="false" outlineLevel="0" collapsed="false">
      <c r="D26" s="76" t="n">
        <v>9</v>
      </c>
      <c r="E26" s="93" t="n">
        <v>452</v>
      </c>
      <c r="F26" s="68" t="n">
        <v>3</v>
      </c>
      <c r="G26" s="68"/>
    </row>
    <row r="27" customFormat="false" ht="12.75" hidden="false" customHeight="false" outlineLevel="0" collapsed="false">
      <c r="D27" s="76" t="n">
        <v>10</v>
      </c>
      <c r="E27" s="93" t="n">
        <v>461</v>
      </c>
      <c r="F27" s="68" t="n">
        <v>3</v>
      </c>
      <c r="G27" s="68"/>
    </row>
    <row r="28" customFormat="false" ht="12.75" hidden="false" customHeight="false" outlineLevel="0" collapsed="false">
      <c r="D28" s="76" t="n">
        <v>11</v>
      </c>
      <c r="E28" s="93" t="n">
        <v>480</v>
      </c>
      <c r="F28" s="68" t="n">
        <v>3</v>
      </c>
      <c r="G28" s="68"/>
    </row>
    <row r="29" customFormat="false" ht="12.75" hidden="false" customHeight="false" outlineLevel="0" collapsed="false">
      <c r="D29" s="102" t="n">
        <v>12</v>
      </c>
      <c r="E29" s="101" t="n">
        <v>504</v>
      </c>
      <c r="F29" s="89" t="n">
        <v>4</v>
      </c>
      <c r="G29" s="89"/>
    </row>
    <row r="30" customFormat="false" ht="12.75" hidden="false" customHeight="false" outlineLevel="0" collapsed="false">
      <c r="D30" s="82" t="n">
        <v>13</v>
      </c>
      <c r="E30" s="99" t="n">
        <v>534</v>
      </c>
      <c r="F30" s="89"/>
      <c r="G30" s="89"/>
    </row>
    <row r="31" customFormat="false" ht="12.75" hidden="false" customHeight="false" outlineLevel="0" collapsed="false">
      <c r="E31" s="89"/>
      <c r="F31" s="89"/>
      <c r="G31" s="89"/>
    </row>
    <row r="32" customFormat="false" ht="12.75" hidden="false" customHeight="false" outlineLevel="0" collapsed="false">
      <c r="D32" s="68" t="s">
        <v>160</v>
      </c>
      <c r="E32" s="68"/>
      <c r="F32" s="68"/>
      <c r="G32" s="68"/>
    </row>
    <row r="33" customFormat="false" ht="12.75" hidden="false" customHeight="false" outlineLevel="0" collapsed="false">
      <c r="D33" s="74" t="n">
        <v>1</v>
      </c>
      <c r="E33" s="91" t="n">
        <v>392</v>
      </c>
      <c r="F33" s="89" t="n">
        <v>1</v>
      </c>
      <c r="G33" s="89"/>
    </row>
    <row r="34" customFormat="false" ht="12.75" hidden="false" customHeight="false" outlineLevel="0" collapsed="false">
      <c r="D34" s="76" t="n">
        <v>2</v>
      </c>
      <c r="E34" s="93" t="n">
        <v>404</v>
      </c>
      <c r="F34" s="68" t="n">
        <v>2</v>
      </c>
      <c r="G34" s="68"/>
    </row>
    <row r="35" customFormat="false" ht="12.75" hidden="false" customHeight="false" outlineLevel="0" collapsed="false">
      <c r="D35" s="76" t="n">
        <v>3</v>
      </c>
      <c r="E35" s="93" t="n">
        <v>419</v>
      </c>
      <c r="F35" s="68" t="n">
        <v>2</v>
      </c>
      <c r="G35" s="68"/>
    </row>
    <row r="36" customFormat="false" ht="12.75" hidden="false" customHeight="false" outlineLevel="0" collapsed="false">
      <c r="D36" s="76" t="n">
        <v>4</v>
      </c>
      <c r="E36" s="93" t="n">
        <v>441</v>
      </c>
      <c r="F36" s="68" t="n">
        <v>2</v>
      </c>
      <c r="G36" s="68"/>
    </row>
    <row r="37" customFormat="false" ht="12.75" hidden="false" customHeight="false" outlineLevel="0" collapsed="false">
      <c r="D37" s="76" t="n">
        <v>5</v>
      </c>
      <c r="E37" s="93" t="n">
        <v>465</v>
      </c>
      <c r="F37" s="68" t="n">
        <v>2</v>
      </c>
      <c r="G37" s="68"/>
    </row>
    <row r="38" customFormat="false" ht="12.75" hidden="false" customHeight="false" outlineLevel="0" collapsed="false">
      <c r="D38" s="76" t="n">
        <v>6</v>
      </c>
      <c r="E38" s="93" t="n">
        <v>484</v>
      </c>
      <c r="F38" s="68" t="n">
        <v>3</v>
      </c>
      <c r="G38" s="68"/>
    </row>
    <row r="39" customFormat="false" ht="12.75" hidden="false" customHeight="false" outlineLevel="0" collapsed="false">
      <c r="D39" s="76" t="n">
        <v>7</v>
      </c>
      <c r="E39" s="93" t="n">
        <v>508</v>
      </c>
      <c r="F39" s="68" t="n">
        <v>3</v>
      </c>
      <c r="G39" s="68"/>
    </row>
    <row r="40" customFormat="false" ht="12.75" hidden="false" customHeight="false" outlineLevel="0" collapsed="false">
      <c r="D40" s="76" t="n">
        <v>8</v>
      </c>
      <c r="E40" s="93" t="n">
        <v>534</v>
      </c>
      <c r="F40" s="68" t="n">
        <v>3</v>
      </c>
      <c r="G40" s="68"/>
    </row>
    <row r="41" customFormat="false" ht="12.75" hidden="false" customHeight="false" outlineLevel="0" collapsed="false">
      <c r="D41" s="76" t="n">
        <v>9</v>
      </c>
      <c r="E41" s="93" t="n">
        <v>551</v>
      </c>
      <c r="F41" s="68" t="n">
        <v>3</v>
      </c>
      <c r="G41" s="68"/>
    </row>
    <row r="42" customFormat="false" ht="12.75" hidden="false" customHeight="false" outlineLevel="0" collapsed="false">
      <c r="D42" s="76" t="n">
        <v>10</v>
      </c>
      <c r="E42" s="93" t="n">
        <v>569</v>
      </c>
      <c r="F42" s="68" t="n">
        <v>3</v>
      </c>
      <c r="G42" s="68"/>
    </row>
    <row r="43" customFormat="false" ht="12.75" hidden="false" customHeight="false" outlineLevel="0" collapsed="false">
      <c r="D43" s="103" t="n">
        <v>11</v>
      </c>
      <c r="E43" s="104" t="n">
        <v>587</v>
      </c>
      <c r="F43" s="68"/>
      <c r="G43" s="68"/>
    </row>
  </sheetData>
  <sheetProtection sheet="true" objects="true" scenarios="true"/>
  <mergeCells count="7">
    <mergeCell ref="D1:E1"/>
    <mergeCell ref="F1:G1"/>
    <mergeCell ref="A2:B2"/>
    <mergeCell ref="D2:E2"/>
    <mergeCell ref="A10:B10"/>
    <mergeCell ref="D17:E17"/>
    <mergeCell ref="D32:E32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4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H3" activeCellId="0" sqref="H3"/>
    </sheetView>
  </sheetViews>
  <sheetFormatPr defaultRowHeight="12.75" zeroHeight="false" outlineLevelRow="0" outlineLevelCol="0"/>
  <cols>
    <col collapsed="false" customWidth="true" hidden="false" outlineLevel="0" max="1" min="1" style="105" width="41.29"/>
    <col collapsed="false" customWidth="true" hidden="false" outlineLevel="0" max="2" min="2" style="105" width="25.86"/>
    <col collapsed="false" customWidth="true" hidden="false" outlineLevel="0" max="3" min="3" style="105" width="33"/>
    <col collapsed="false" customWidth="true" hidden="false" outlineLevel="0" max="4" min="4" style="105" width="20.71"/>
    <col collapsed="false" customWidth="true" hidden="false" outlineLevel="0" max="5" min="5" style="105" width="8.71"/>
    <col collapsed="false" customWidth="true" hidden="false" outlineLevel="0" max="6" min="6" style="105" width="13.86"/>
    <col collapsed="false" customWidth="true" hidden="false" outlineLevel="0" max="7" min="7" style="105" width="19.8"/>
    <col collapsed="false" customWidth="true" hidden="false" outlineLevel="0" max="8" min="8" style="105" width="12.29"/>
    <col collapsed="false" customWidth="true" hidden="false" outlineLevel="0" max="9" min="9" style="105" width="8.71"/>
    <col collapsed="false" customWidth="true" hidden="false" outlineLevel="0" max="10" min="10" style="105" width="9.29"/>
    <col collapsed="false" customWidth="true" hidden="false" outlineLevel="0" max="19" min="11" style="105" width="8.71"/>
    <col collapsed="false" customWidth="true" hidden="false" outlineLevel="0" max="20" min="20" style="105" width="9.29"/>
    <col collapsed="false" customWidth="true" hidden="false" outlineLevel="0" max="21" min="21" style="105" width="8.71"/>
    <col collapsed="false" customWidth="true" hidden="false" outlineLevel="0" max="22" min="22" style="105" width="9.29"/>
    <col collapsed="false" customWidth="true" hidden="false" outlineLevel="0" max="1025" min="23" style="105" width="8.71"/>
  </cols>
  <sheetData>
    <row r="1" customFormat="false" ht="15.75" hidden="false" customHeight="false" outlineLevel="0" collapsed="false">
      <c r="B1" s="106" t="s">
        <v>161</v>
      </c>
      <c r="C1" s="106"/>
      <c r="D1" s="107"/>
    </row>
    <row r="2" customFormat="false" ht="12.75" hidden="false" customHeight="false" outlineLevel="0" collapsed="false">
      <c r="C2" s="108"/>
      <c r="D2" s="107"/>
    </row>
    <row r="3" customFormat="false" ht="12.8" hidden="false" customHeight="false" outlineLevel="0" collapsed="false">
      <c r="C3" s="108"/>
      <c r="D3" s="107"/>
      <c r="G3" s="109" t="s">
        <v>162</v>
      </c>
      <c r="H3" s="109"/>
    </row>
    <row r="4" customFormat="false" ht="15" hidden="false" customHeight="false" outlineLevel="0" collapsed="false">
      <c r="A4" s="110" t="s">
        <v>163</v>
      </c>
      <c r="B4" s="111" t="str">
        <f aca="false">SAISIE!B4</f>
        <v>Contrôleur 1ère classe</v>
      </c>
      <c r="C4" s="108"/>
      <c r="D4" s="107"/>
    </row>
    <row r="5" customFormat="false" ht="15.75" hidden="false" customHeight="false" outlineLevel="0" collapsed="false">
      <c r="A5" s="110" t="s">
        <v>5</v>
      </c>
      <c r="B5" s="112" t="n">
        <f aca="false">SAISIE!B5</f>
        <v>9</v>
      </c>
      <c r="C5" s="113" t="s">
        <v>164</v>
      </c>
      <c r="D5" s="114" t="n">
        <f aca="false">B30+B33-D35+D25</f>
        <v>3065.6399</v>
      </c>
    </row>
    <row r="6" customFormat="false" ht="15" hidden="false" customHeight="false" outlineLevel="0" collapsed="false">
      <c r="A6" s="110" t="s">
        <v>6</v>
      </c>
      <c r="B6" s="115" t="n">
        <f aca="false">SAISIE!E5</f>
        <v>452</v>
      </c>
      <c r="C6" s="116" t="s">
        <v>165</v>
      </c>
      <c r="D6" s="117" t="n">
        <f aca="false">D5-D25</f>
        <v>2947.3896236</v>
      </c>
      <c r="F6" s="118"/>
      <c r="G6" s="109" t="s">
        <v>166</v>
      </c>
      <c r="H6" s="119" t="n">
        <f aca="false">D6+H3</f>
        <v>2947.3896236</v>
      </c>
    </row>
    <row r="7" customFormat="false" ht="12.75" hidden="false" customHeight="false" outlineLevel="0" collapsed="false">
      <c r="A7" s="120"/>
      <c r="C7" s="121"/>
    </row>
    <row r="9" customFormat="false" ht="12.75" hidden="false" customHeight="false" outlineLevel="0" collapsed="false">
      <c r="B9" s="122" t="s">
        <v>167</v>
      </c>
      <c r="D9" s="122" t="s">
        <v>168</v>
      </c>
    </row>
    <row r="10" customFormat="false" ht="12.75" hidden="false" customHeight="false" outlineLevel="0" collapsed="false">
      <c r="A10" s="123" t="s">
        <v>169</v>
      </c>
      <c r="B10" s="124" t="n">
        <f aca="false">ROUNDDOWN((SAISIE!E5*point)*TABLE!B9,2)</f>
        <v>2192.21</v>
      </c>
      <c r="C10" s="125" t="s">
        <v>150</v>
      </c>
      <c r="D10" s="124" t="n">
        <f aca="false">ROUNDDOWN((B10+B11)*taux,2)</f>
        <v>243.33</v>
      </c>
    </row>
    <row r="11" customFormat="false" ht="12.75" hidden="false" customHeight="false" outlineLevel="0" collapsed="false">
      <c r="A11" s="126" t="s">
        <v>170</v>
      </c>
      <c r="B11" s="127"/>
      <c r="C11" s="128" t="s">
        <v>171</v>
      </c>
      <c r="D11" s="129" t="n">
        <f aca="false">ROUNDDOWN(B12*taux,2)</f>
        <v>0</v>
      </c>
    </row>
    <row r="12" customFormat="false" ht="12.8" hidden="false" customHeight="false" outlineLevel="0" collapsed="false">
      <c r="A12" s="123" t="s">
        <v>172</v>
      </c>
      <c r="B12" s="130" t="str">
        <f aca="false">IF(SAISIE!B6="Oui",VLOOKUP('PRIMES - INDEMNITES'!B2,'PRIMES - INDEMNITES'!A113:B125,2,0)*TABLE!B9*point,"0")</f>
        <v>0</v>
      </c>
      <c r="C12" s="128" t="s">
        <v>173</v>
      </c>
      <c r="D12" s="129" t="n">
        <f aca="false">ROUND(B18*INDICE_TAUX!B33,2)</f>
        <v>21.35</v>
      </c>
      <c r="S12" s="105" t="n">
        <v>1663.53</v>
      </c>
      <c r="T12" s="131" t="n">
        <f aca="false">23/30*S12</f>
        <v>1275.373</v>
      </c>
      <c r="U12" s="105" t="n">
        <v>1691.65</v>
      </c>
      <c r="V12" s="131" t="n">
        <f aca="false">7/30*U12</f>
        <v>394.718333333333</v>
      </c>
      <c r="X12" s="131" t="n">
        <f aca="false">T12+V12</f>
        <v>1670.09133333333</v>
      </c>
    </row>
    <row r="13" customFormat="false" ht="12.8" hidden="false" customHeight="false" outlineLevel="0" collapsed="false">
      <c r="A13" s="126" t="s">
        <v>170</v>
      </c>
      <c r="B13" s="127"/>
      <c r="C13" s="128" t="s">
        <v>146</v>
      </c>
      <c r="D13" s="129" t="n">
        <f aca="false">IF(SUM(B14:B29)&lt;(B10+B11+B12+B13)*20/100,SUM(B14:B29)*0.2*0.05,(B10+B11)*0.2*0.05)</f>
        <v>21.9221</v>
      </c>
      <c r="T13" s="131" t="n">
        <f aca="false">23/30*S13</f>
        <v>0</v>
      </c>
      <c r="V13" s="131" t="n">
        <f aca="false">7/30*U13</f>
        <v>0</v>
      </c>
      <c r="X13" s="131" t="n">
        <f aca="false">T13+V13</f>
        <v>0</v>
      </c>
    </row>
    <row r="14" customFormat="false" ht="12.8" hidden="false" customHeight="false" outlineLevel="0" collapsed="false">
      <c r="A14" s="123" t="s">
        <v>174</v>
      </c>
      <c r="B14" s="124" t="n">
        <f aca="false">IF(B6&lt;plancher+1,LOOKUP(SAISIE!B11,SFT_Plancher),IF(B6&gt;plafond-1,LOOKUP(SAISIE!B11,SFT_Plafond),LOOKUP(SAISIE!B11,SFT_Indice)))</f>
        <v>2.29</v>
      </c>
      <c r="C14" s="132" t="s">
        <v>175</v>
      </c>
      <c r="D14" s="133" t="n">
        <f aca="false">SUM(D10:D13)</f>
        <v>286.6021</v>
      </c>
      <c r="E14" s="118"/>
      <c r="S14" s="105" t="n">
        <v>56.2323</v>
      </c>
      <c r="T14" s="131" t="n">
        <f aca="false">23/30*S14</f>
        <v>43.11143</v>
      </c>
      <c r="U14" s="105" t="n">
        <v>56.2323</v>
      </c>
      <c r="V14" s="131" t="n">
        <f aca="false">7/30*U14</f>
        <v>13.12087</v>
      </c>
      <c r="X14" s="131" t="n">
        <f aca="false">T14+V14</f>
        <v>56.2323</v>
      </c>
    </row>
    <row r="15" customFormat="false" ht="12.8" hidden="false" customHeight="false" outlineLevel="0" collapsed="false">
      <c r="A15" s="126" t="s">
        <v>170</v>
      </c>
      <c r="B15" s="127"/>
      <c r="C15" s="128" t="s">
        <v>142</v>
      </c>
      <c r="D15" s="129" t="n">
        <f aca="false">ROUNDDOWN(((B30+B32-D24)*INDICE_TAUX!B22)*INDICE_TAUX!B28,3)</f>
        <v>90.24</v>
      </c>
      <c r="T15" s="131" t="n">
        <f aca="false">23/30*S15</f>
        <v>0</v>
      </c>
      <c r="V15" s="131" t="n">
        <f aca="false">7/30*U15</f>
        <v>0</v>
      </c>
      <c r="X15" s="131" t="n">
        <f aca="false">T15+V15</f>
        <v>0</v>
      </c>
    </row>
    <row r="16" customFormat="false" ht="12.8" hidden="false" customHeight="false" outlineLevel="0" collapsed="false">
      <c r="A16" s="123" t="s">
        <v>176</v>
      </c>
      <c r="B16" s="124" t="n">
        <f aca="false">SAISIE!B10*('BULLETIN DE PAYE'!B10+'BULLETIN DE PAYE'!B11+'BULLETIN DE PAYE'!B12+'BULLETIN DE PAYE'!B13)</f>
        <v>876.884</v>
      </c>
      <c r="C16" s="128" t="s">
        <v>143</v>
      </c>
      <c r="D16" s="129" t="n">
        <f aca="false">ROUNDDOWN(((B30+B32-D24)*INDICE_TAUX!B23)*INDICE_TAUX!B29,3)</f>
        <v>255.682</v>
      </c>
      <c r="S16" s="105" t="n">
        <v>0</v>
      </c>
      <c r="T16" s="131" t="n">
        <f aca="false">23/30*S16</f>
        <v>0</v>
      </c>
      <c r="U16" s="105" t="n">
        <v>0</v>
      </c>
      <c r="V16" s="131" t="n">
        <f aca="false">7/30*U16</f>
        <v>0</v>
      </c>
      <c r="X16" s="131" t="n">
        <f aca="false">T16+V16</f>
        <v>0</v>
      </c>
    </row>
    <row r="17" customFormat="false" ht="12.8" hidden="false" customHeight="false" outlineLevel="0" collapsed="false">
      <c r="A17" s="126" t="s">
        <v>170</v>
      </c>
      <c r="B17" s="127"/>
      <c r="C17" s="134" t="s">
        <v>144</v>
      </c>
      <c r="D17" s="129" t="n">
        <f aca="false">ROUNDDOWN(((B30+B32-D24)*INDICE_TAUX!B24)*INDICE_TAUX!B30,3)</f>
        <v>18.8</v>
      </c>
      <c r="T17" s="131" t="n">
        <f aca="false">23/30*S17</f>
        <v>0</v>
      </c>
      <c r="V17" s="131" t="n">
        <f aca="false">7/30*U17</f>
        <v>0</v>
      </c>
      <c r="X17" s="131" t="n">
        <f aca="false">T17+V17</f>
        <v>0</v>
      </c>
    </row>
    <row r="18" customFormat="false" ht="12.8" hidden="false" customHeight="false" outlineLevel="0" collapsed="false">
      <c r="A18" s="123" t="s">
        <v>177</v>
      </c>
      <c r="B18" s="124" t="n">
        <f aca="false">'PRIMES - INDEMNITES'!B4*TABLE!B9</f>
        <v>106.76</v>
      </c>
      <c r="C18" s="128"/>
      <c r="D18" s="129"/>
      <c r="S18" s="105" t="n">
        <v>51.59</v>
      </c>
      <c r="T18" s="131" t="n">
        <f aca="false">23/30*S18</f>
        <v>39.5523333333333</v>
      </c>
      <c r="U18" s="105" t="n">
        <v>52.43</v>
      </c>
      <c r="V18" s="131" t="n">
        <f aca="false">7/30*U18</f>
        <v>12.2336666666667</v>
      </c>
      <c r="X18" s="131" t="n">
        <f aca="false">T18+V18</f>
        <v>51.786</v>
      </c>
    </row>
    <row r="19" customFormat="false" ht="12.8" hidden="false" customHeight="false" outlineLevel="0" collapsed="false">
      <c r="A19" s="126" t="s">
        <v>170</v>
      </c>
      <c r="B19" s="127"/>
      <c r="C19" s="132" t="s">
        <v>178</v>
      </c>
      <c r="D19" s="133" t="n">
        <f aca="false">SUM(D15:D18)</f>
        <v>364.722</v>
      </c>
      <c r="T19" s="131" t="n">
        <f aca="false">23/30*S19</f>
        <v>0</v>
      </c>
      <c r="V19" s="131" t="n">
        <f aca="false">7/30*U19</f>
        <v>0</v>
      </c>
      <c r="X19" s="131" t="n">
        <f aca="false">T19+V19</f>
        <v>0</v>
      </c>
    </row>
    <row r="20" customFormat="false" ht="12.8" hidden="false" customHeight="false" outlineLevel="0" collapsed="false">
      <c r="A20" s="123" t="str">
        <f aca="false">IF(SAISIE!B4=0,"I.A.T.","I.F.T.S.")</f>
        <v>I.F.T.S.</v>
      </c>
      <c r="B20" s="124" t="n">
        <f aca="false">ROUNDDOWN(B10*0.0833,2)</f>
        <v>182.61</v>
      </c>
      <c r="C20" s="128" t="s">
        <v>179</v>
      </c>
      <c r="D20" s="129" t="n">
        <f aca="false">SAISIE!B17</f>
        <v>56.05</v>
      </c>
      <c r="S20" s="105" t="n">
        <v>106.76</v>
      </c>
      <c r="T20" s="131" t="n">
        <f aca="false">23/30*S20</f>
        <v>81.8493333333334</v>
      </c>
      <c r="U20" s="105" t="n">
        <v>106.76</v>
      </c>
      <c r="V20" s="131" t="n">
        <f aca="false">7/30*U20</f>
        <v>24.9106666666667</v>
      </c>
      <c r="X20" s="131" t="n">
        <f aca="false">T20+V20</f>
        <v>106.76</v>
      </c>
    </row>
    <row r="21" customFormat="false" ht="12.8" hidden="false" customHeight="false" outlineLevel="0" collapsed="false">
      <c r="A21" s="126" t="s">
        <v>170</v>
      </c>
      <c r="B21" s="127"/>
      <c r="C21" s="128" t="s">
        <v>180</v>
      </c>
      <c r="D21" s="129" t="n">
        <f aca="false">SAISIE!B18</f>
        <v>54</v>
      </c>
      <c r="T21" s="131" t="n">
        <f aca="false">23/30*S21</f>
        <v>0</v>
      </c>
      <c r="V21" s="131" t="n">
        <f aca="false">7/30*U21</f>
        <v>0</v>
      </c>
      <c r="X21" s="131" t="n">
        <f aca="false">T21+V21</f>
        <v>0</v>
      </c>
    </row>
    <row r="22" customFormat="false" ht="12.8" hidden="false" customHeight="false" outlineLevel="0" collapsed="false">
      <c r="A22" s="123" t="s">
        <v>181</v>
      </c>
      <c r="B22" s="135" t="n">
        <f aca="false">VLOOKUP(SAISIE!B23,'PRIMES - INDEMNITES'!A11:D94,3,0)</f>
        <v>279.71</v>
      </c>
      <c r="C22" s="132" t="s">
        <v>182</v>
      </c>
      <c r="D22" s="133" t="n">
        <f aca="false">D20+D21</f>
        <v>110.05</v>
      </c>
      <c r="S22" s="105" t="n">
        <v>138.57</v>
      </c>
      <c r="T22" s="131" t="n">
        <f aca="false">23/30*S22</f>
        <v>106.237</v>
      </c>
      <c r="U22" s="105" t="n">
        <v>140.91</v>
      </c>
      <c r="V22" s="131" t="n">
        <f aca="false">7/30*U22</f>
        <v>32.879</v>
      </c>
      <c r="X22" s="131" t="n">
        <f aca="false">T22+V22</f>
        <v>139.116</v>
      </c>
    </row>
    <row r="23" customFormat="false" ht="12.8" hidden="false" customHeight="false" outlineLevel="0" collapsed="false">
      <c r="A23" s="126" t="s">
        <v>170</v>
      </c>
      <c r="B23" s="127"/>
      <c r="D23" s="129"/>
      <c r="T23" s="131" t="n">
        <f aca="false">23/30*S23</f>
        <v>0</v>
      </c>
      <c r="V23" s="131" t="n">
        <f aca="false">7/30*U23</f>
        <v>0</v>
      </c>
      <c r="X23" s="131" t="n">
        <f aca="false">T23+V23</f>
        <v>0</v>
      </c>
    </row>
    <row r="24" customFormat="false" ht="12.8" hidden="false" customHeight="false" outlineLevel="0" collapsed="false">
      <c r="A24" s="123" t="s">
        <v>183</v>
      </c>
      <c r="B24" s="135" t="n">
        <v>183.5</v>
      </c>
      <c r="C24" s="128" t="s">
        <v>184</v>
      </c>
      <c r="D24" s="129" t="n">
        <v>23.17</v>
      </c>
      <c r="S24" s="105" t="n">
        <v>227.78</v>
      </c>
      <c r="T24" s="131" t="n">
        <f aca="false">23/30*S24</f>
        <v>174.631333333333</v>
      </c>
      <c r="U24" s="105" t="n">
        <v>227.78</v>
      </c>
      <c r="V24" s="131" t="n">
        <f aca="false">7/30*U24</f>
        <v>53.1486666666667</v>
      </c>
      <c r="X24" s="131" t="n">
        <f aca="false">T24+V24</f>
        <v>227.78</v>
      </c>
    </row>
    <row r="25" customFormat="false" ht="12.8" hidden="false" customHeight="false" outlineLevel="0" collapsed="false">
      <c r="A25" s="126" t="s">
        <v>170</v>
      </c>
      <c r="B25" s="136"/>
      <c r="C25" s="137" t="s">
        <v>185</v>
      </c>
      <c r="D25" s="138" t="n">
        <f aca="false">B37*SAISIE!B19</f>
        <v>118.2502764</v>
      </c>
      <c r="T25" s="131" t="n">
        <f aca="false">23/30*S25</f>
        <v>0</v>
      </c>
      <c r="V25" s="131" t="n">
        <f aca="false">7/30*U25</f>
        <v>0</v>
      </c>
      <c r="X25" s="131" t="n">
        <f aca="false">T25+V25</f>
        <v>0</v>
      </c>
    </row>
    <row r="26" customFormat="false" ht="12.8" hidden="false" customHeight="false" outlineLevel="0" collapsed="false">
      <c r="A26" s="123" t="s">
        <v>186</v>
      </c>
      <c r="B26" s="130" t="n">
        <f aca="false">VLOOKUP('PRIMES - INDEMNITES'!B2,'PRIMES - INDEMNITES'!A98:C110,3,0)*TABLE!B9</f>
        <v>0</v>
      </c>
      <c r="D26" s="129"/>
      <c r="S26" s="105" t="n">
        <v>183.5</v>
      </c>
      <c r="T26" s="131" t="n">
        <f aca="false">23/30*S26</f>
        <v>140.683333333333</v>
      </c>
      <c r="U26" s="105" t="n">
        <v>183.5</v>
      </c>
      <c r="V26" s="131" t="n">
        <f aca="false">7/30*U26</f>
        <v>42.8166666666667</v>
      </c>
      <c r="X26" s="131" t="n">
        <f aca="false">T26+V26</f>
        <v>183.5</v>
      </c>
    </row>
    <row r="27" customFormat="false" ht="12.8" hidden="false" customHeight="false" outlineLevel="0" collapsed="false">
      <c r="A27" s="126" t="s">
        <v>170</v>
      </c>
      <c r="B27" s="136"/>
      <c r="D27" s="129"/>
      <c r="O27" s="105" t="n">
        <f aca="false">N26+N27</f>
        <v>0</v>
      </c>
      <c r="P27" s="139"/>
      <c r="Q27" s="139"/>
      <c r="T27" s="131" t="n">
        <f aca="false">23/30*S27</f>
        <v>0</v>
      </c>
      <c r="V27" s="131" t="n">
        <f aca="false">7/30*U27</f>
        <v>0</v>
      </c>
      <c r="X27" s="131" t="n">
        <f aca="false">T27+V27</f>
        <v>0</v>
      </c>
    </row>
    <row r="28" customFormat="false" ht="12.8" hidden="false" customHeight="false" outlineLevel="0" collapsed="false">
      <c r="A28" s="140" t="s">
        <v>187</v>
      </c>
      <c r="B28" s="141" t="n">
        <f aca="false">SAISIE!B14</f>
        <v>26.22</v>
      </c>
      <c r="C28" s="142"/>
      <c r="D28" s="129"/>
      <c r="P28" s="139"/>
      <c r="Q28" s="139"/>
      <c r="S28" s="105" t="n">
        <v>0</v>
      </c>
      <c r="T28" s="131" t="n">
        <f aca="false">23/30*S28</f>
        <v>0</v>
      </c>
      <c r="U28" s="105" t="n">
        <v>0</v>
      </c>
      <c r="V28" s="131" t="n">
        <f aca="false">7/30*U28</f>
        <v>0</v>
      </c>
      <c r="X28" s="131" t="n">
        <f aca="false">T28+V28</f>
        <v>0</v>
      </c>
    </row>
    <row r="29" customFormat="false" ht="12.8" hidden="false" customHeight="false" outlineLevel="0" collapsed="false">
      <c r="A29" s="126" t="s">
        <v>170</v>
      </c>
      <c r="B29" s="143"/>
      <c r="C29" s="142"/>
      <c r="D29" s="129"/>
      <c r="P29" s="139"/>
      <c r="Q29" s="139"/>
      <c r="T29" s="131" t="n">
        <f aca="false">23/30*S29</f>
        <v>0</v>
      </c>
      <c r="V29" s="131" t="n">
        <f aca="false">7/30*U29</f>
        <v>0</v>
      </c>
      <c r="X29" s="131" t="n">
        <f aca="false">T29+V29</f>
        <v>0</v>
      </c>
    </row>
    <row r="30" customFormat="false" ht="12.8" hidden="false" customHeight="false" outlineLevel="0" collapsed="false">
      <c r="A30" s="132" t="s">
        <v>188</v>
      </c>
      <c r="B30" s="133" t="n">
        <f aca="false">SUM(B10:B29)</f>
        <v>3850.184</v>
      </c>
      <c r="C30" s="142"/>
      <c r="D30" s="129"/>
      <c r="S30" s="105" t="n">
        <v>43.8</v>
      </c>
      <c r="T30" s="131" t="n">
        <f aca="false">23/30*S30</f>
        <v>33.58</v>
      </c>
      <c r="U30" s="105" t="n">
        <v>43.8</v>
      </c>
      <c r="V30" s="131" t="n">
        <f aca="false">7/30*U30</f>
        <v>10.22</v>
      </c>
      <c r="X30" s="131" t="n">
        <f aca="false">T30+V30</f>
        <v>43.8</v>
      </c>
    </row>
    <row r="31" customFormat="false" ht="12.8" hidden="false" customHeight="false" outlineLevel="0" collapsed="false">
      <c r="A31" s="144" t="s">
        <v>189</v>
      </c>
      <c r="B31" s="129" t="n">
        <f aca="false">SAISIE!B13</f>
        <v>0</v>
      </c>
      <c r="C31" s="142"/>
      <c r="D31" s="129"/>
    </row>
    <row r="32" customFormat="false" ht="12.8" hidden="false" customHeight="false" outlineLevel="0" collapsed="false">
      <c r="A32" s="144" t="s">
        <v>190</v>
      </c>
      <c r="B32" s="129" t="n">
        <f aca="false">SAISIE!B15</f>
        <v>0</v>
      </c>
      <c r="C32" s="142"/>
      <c r="D32" s="145"/>
    </row>
    <row r="33" customFormat="false" ht="12.8" hidden="false" customHeight="false" outlineLevel="0" collapsed="false">
      <c r="A33" s="132" t="s">
        <v>191</v>
      </c>
      <c r="B33" s="133" t="n">
        <f aca="false">B31+B32</f>
        <v>0</v>
      </c>
      <c r="C33" s="142"/>
      <c r="D33" s="129"/>
    </row>
    <row r="34" customFormat="false" ht="12.8" hidden="false" customHeight="false" outlineLevel="0" collapsed="false">
      <c r="A34" s="142"/>
      <c r="B34" s="129"/>
      <c r="C34" s="142"/>
      <c r="D34" s="129"/>
    </row>
    <row r="35" customFormat="false" ht="12.8" hidden="false" customHeight="false" outlineLevel="0" collapsed="false">
      <c r="A35" s="146" t="s">
        <v>192</v>
      </c>
      <c r="B35" s="147" t="n">
        <f aca="false">B30+B33</f>
        <v>3850.184</v>
      </c>
      <c r="C35" s="148" t="s">
        <v>193</v>
      </c>
      <c r="D35" s="149" t="n">
        <f aca="false">D14+D19+D22+D24+D25</f>
        <v>902.7943764</v>
      </c>
    </row>
    <row r="36" customFormat="false" ht="12.8" hidden="false" customHeight="false" outlineLevel="0" collapsed="false">
      <c r="B36" s="150"/>
      <c r="D36" s="151"/>
    </row>
    <row r="37" customFormat="false" ht="12.8" hidden="false" customHeight="false" outlineLevel="0" collapsed="false">
      <c r="A37" s="152" t="s">
        <v>194</v>
      </c>
      <c r="B37" s="153" t="n">
        <f aca="false">(B35-B31)-(D14+D16+D24)</f>
        <v>3284.7299</v>
      </c>
      <c r="D37" s="151"/>
    </row>
    <row r="38" customFormat="false" ht="12.8" hidden="false" customHeight="false" outlineLevel="0" collapsed="false">
      <c r="B38" s="118"/>
    </row>
    <row r="39" customFormat="false" ht="12.8" hidden="false" customHeight="false" outlineLevel="0" collapsed="false"/>
    <row r="40" customFormat="false" ht="12.8" hidden="false" customHeight="false" outlineLevel="0" collapsed="false"/>
  </sheetData>
  <mergeCells count="1">
    <mergeCell ref="B1:C1"/>
  </mergeCells>
  <printOptions headings="false" gridLines="false" gridLinesSet="true" horizontalCentered="false" verticalCentered="false"/>
  <pageMargins left="0.7875" right="0.7875" top="0.1965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6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LibreOffice/6.2.7.1.lin1$Windows_X86_64 LibreOffice_project/ac167a92e33a5447f0bf604564addc465dbb4b35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2018-04-12T13:39:56Z</dcterms:created>
  <dc:creator>DAULEAC Gregory</dc:creator>
  <dc:description/>
  <dc:language>fr-FR</dc:language>
  <cp:lastModifiedBy/>
  <cp:lastPrinted>2022-08-30T09:34:55Z</cp:lastPrinted>
  <dcterms:modified xsi:type="dcterms:W3CDTF">2022-09-23T12:21:57Z</dcterms:modified>
  <cp:revision>100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